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1436" windowHeight="5988"/>
  </bookViews>
  <sheets>
    <sheet name="May Ledgers" sheetId="1" r:id="rId1"/>
    <sheet name="June Ledgers" sheetId="2" r:id="rId2"/>
    <sheet name="June Final Ledgers" sheetId="3" r:id="rId3"/>
  </sheets>
  <definedNames>
    <definedName name="_xlnm.Print_Area" localSheetId="2">'June Final Ledgers'!$A$1:$L$45</definedName>
    <definedName name="_xlnm.Print_Area" localSheetId="1">'June Ledgers'!$A$1:$L$91</definedName>
    <definedName name="_xlnm.Print_Area" localSheetId="0">'May Ledgers'!$A$1:$L$89</definedName>
  </definedNames>
  <calcPr calcId="145621"/>
</workbook>
</file>

<file path=xl/calcChain.xml><?xml version="1.0" encoding="utf-8"?>
<calcChain xmlns="http://schemas.openxmlformats.org/spreadsheetml/2006/main">
  <c r="C95" i="2" l="1"/>
  <c r="G45" i="3"/>
  <c r="I45" i="3" s="1"/>
  <c r="K45" i="3" s="1"/>
  <c r="G44" i="3"/>
  <c r="G43" i="3"/>
  <c r="G42" i="3"/>
  <c r="G40" i="3"/>
  <c r="G39" i="3"/>
  <c r="I39" i="3" s="1"/>
  <c r="K39" i="3" s="1"/>
  <c r="G38" i="3"/>
  <c r="G37" i="3"/>
  <c r="G36" i="3"/>
  <c r="I36" i="3" s="1"/>
  <c r="K36" i="3" s="1"/>
  <c r="G35" i="3"/>
  <c r="G34" i="3"/>
  <c r="G33" i="3"/>
  <c r="G32" i="3"/>
  <c r="G31" i="3"/>
  <c r="I31" i="3" s="1"/>
  <c r="K31" i="3" s="1"/>
  <c r="G18" i="3"/>
  <c r="G29" i="3"/>
  <c r="I29" i="3" s="1"/>
  <c r="K29" i="3" s="1"/>
  <c r="G28" i="3"/>
  <c r="G47" i="3" s="1"/>
  <c r="G27" i="3"/>
  <c r="I27" i="3" s="1"/>
  <c r="K27" i="3" s="1"/>
  <c r="G26" i="3"/>
  <c r="G25" i="3"/>
  <c r="I25" i="3" s="1"/>
  <c r="H29" i="3"/>
  <c r="H37" i="3"/>
  <c r="H32" i="3"/>
  <c r="H27" i="3"/>
  <c r="H26" i="3"/>
  <c r="H25" i="3"/>
  <c r="H47" i="3" s="1"/>
  <c r="I26" i="3"/>
  <c r="K26" i="3" s="1"/>
  <c r="I28" i="3"/>
  <c r="K28" i="3" s="1"/>
  <c r="I30" i="3"/>
  <c r="K30" i="3" s="1"/>
  <c r="I32" i="3"/>
  <c r="K32" i="3" s="1"/>
  <c r="H33" i="3"/>
  <c r="I33" i="3"/>
  <c r="H34" i="3"/>
  <c r="I34" i="3" s="1"/>
  <c r="K34" i="3" s="1"/>
  <c r="H35" i="3"/>
  <c r="I35" i="3"/>
  <c r="H36" i="3"/>
  <c r="I37" i="3"/>
  <c r="K37" i="3" s="1"/>
  <c r="H38" i="3"/>
  <c r="I38" i="3"/>
  <c r="K38" i="3"/>
  <c r="H39" i="3"/>
  <c r="I40" i="3"/>
  <c r="K40" i="3" s="1"/>
  <c r="I41" i="3"/>
  <c r="K41" i="3"/>
  <c r="H42" i="3"/>
  <c r="I42" i="3" s="1"/>
  <c r="K42" i="3" s="1"/>
  <c r="I43" i="3"/>
  <c r="K43" i="3"/>
  <c r="I44" i="3"/>
  <c r="K44" i="3" s="1"/>
  <c r="J47" i="3"/>
  <c r="F47" i="3"/>
  <c r="H18" i="3"/>
  <c r="I18" i="3" s="1"/>
  <c r="H19" i="3"/>
  <c r="I19" i="3"/>
  <c r="K19" i="3" s="1"/>
  <c r="J21" i="3"/>
  <c r="H21" i="3"/>
  <c r="G21" i="3"/>
  <c r="F21" i="3"/>
  <c r="F81" i="2"/>
  <c r="D73" i="2"/>
  <c r="D70" i="2"/>
  <c r="D67" i="2"/>
  <c r="D65" i="2"/>
  <c r="D77" i="2"/>
  <c r="D76" i="2"/>
  <c r="D75" i="2"/>
  <c r="D74" i="2"/>
  <c r="D72" i="2"/>
  <c r="D71" i="2"/>
  <c r="D69" i="2"/>
  <c r="D68" i="2"/>
  <c r="D66" i="2"/>
  <c r="D64" i="2"/>
  <c r="D63" i="2"/>
  <c r="D62" i="2"/>
  <c r="D61" i="2"/>
  <c r="D60" i="2"/>
  <c r="D59" i="2"/>
  <c r="D58" i="2"/>
  <c r="D81" i="2" s="1"/>
  <c r="C77" i="2"/>
  <c r="C76" i="2"/>
  <c r="C75" i="2"/>
  <c r="C73" i="2"/>
  <c r="C72" i="2"/>
  <c r="C63" i="2"/>
  <c r="C62" i="2"/>
  <c r="C60" i="2"/>
  <c r="B80" i="2"/>
  <c r="B79" i="2"/>
  <c r="B78" i="2"/>
  <c r="E78" i="2" s="1"/>
  <c r="B77" i="2"/>
  <c r="E77" i="2" s="1"/>
  <c r="B76" i="2"/>
  <c r="I76" i="2" s="1"/>
  <c r="B75" i="2"/>
  <c r="E75" i="2" s="1"/>
  <c r="B74" i="2"/>
  <c r="B73" i="2"/>
  <c r="I73" i="2"/>
  <c r="J73" i="2" s="1"/>
  <c r="L73" i="2" s="1"/>
  <c r="B72" i="2"/>
  <c r="I72" i="2" s="1"/>
  <c r="B71" i="2"/>
  <c r="B70" i="2"/>
  <c r="B69" i="2"/>
  <c r="B68" i="2"/>
  <c r="B67" i="2"/>
  <c r="B66" i="2"/>
  <c r="B65" i="2"/>
  <c r="B64" i="2"/>
  <c r="B63" i="2"/>
  <c r="I63" i="2" s="1"/>
  <c r="J63" i="2" s="1"/>
  <c r="L63" i="2" s="1"/>
  <c r="B62" i="2"/>
  <c r="I62" i="2" s="1"/>
  <c r="B61" i="2"/>
  <c r="B60" i="2"/>
  <c r="I60" i="2" s="1"/>
  <c r="J60" i="2" s="1"/>
  <c r="L60" i="2" s="1"/>
  <c r="B59" i="2"/>
  <c r="B58" i="2"/>
  <c r="G21" i="2"/>
  <c r="J47" i="2"/>
  <c r="H25" i="2"/>
  <c r="I25" i="2" s="1"/>
  <c r="C78" i="2"/>
  <c r="I78" i="2" s="1"/>
  <c r="H26" i="2"/>
  <c r="C58" i="2"/>
  <c r="I26" i="2"/>
  <c r="K26" i="2" s="1"/>
  <c r="H27" i="2"/>
  <c r="C59" i="2" s="1"/>
  <c r="I27" i="2"/>
  <c r="I28" i="2"/>
  <c r="K28" i="2" s="1"/>
  <c r="H29" i="2"/>
  <c r="C61" i="2" s="1"/>
  <c r="I30" i="2"/>
  <c r="K30" i="2" s="1"/>
  <c r="I31" i="2"/>
  <c r="K31" i="2" s="1"/>
  <c r="H32" i="2"/>
  <c r="C64" i="2" s="1"/>
  <c r="I64" i="2" s="1"/>
  <c r="H33" i="2"/>
  <c r="C65" i="2" s="1"/>
  <c r="E65" i="2" s="1"/>
  <c r="H34" i="2"/>
  <c r="C66" i="2" s="1"/>
  <c r="I66" i="2" s="1"/>
  <c r="H35" i="2"/>
  <c r="C67" i="2" s="1"/>
  <c r="H36" i="2"/>
  <c r="C68" i="2" s="1"/>
  <c r="I68" i="2" s="1"/>
  <c r="H37" i="2"/>
  <c r="C69" i="2" s="1"/>
  <c r="H38" i="2"/>
  <c r="C70" i="2" s="1"/>
  <c r="H39" i="2"/>
  <c r="C71" i="2"/>
  <c r="I71" i="2"/>
  <c r="J71" i="2" s="1"/>
  <c r="L71" i="2" s="1"/>
  <c r="I40" i="2"/>
  <c r="I41" i="2"/>
  <c r="H42" i="2"/>
  <c r="I42" i="2" s="1"/>
  <c r="K42" i="2" s="1"/>
  <c r="C74" i="2"/>
  <c r="I74" i="2" s="1"/>
  <c r="I43" i="2"/>
  <c r="K43" i="2" s="1"/>
  <c r="I44" i="2"/>
  <c r="I45" i="2"/>
  <c r="H19" i="2"/>
  <c r="C80" i="2" s="1"/>
  <c r="E80" i="2" s="1"/>
  <c r="H18" i="2"/>
  <c r="C79" i="2" s="1"/>
  <c r="E79" i="2" s="1"/>
  <c r="K27" i="2"/>
  <c r="K40" i="2"/>
  <c r="K41" i="2"/>
  <c r="K44" i="2"/>
  <c r="K45" i="2"/>
  <c r="G47" i="2"/>
  <c r="F47" i="2"/>
  <c r="J21" i="2"/>
  <c r="F21" i="2"/>
  <c r="F86" i="1"/>
  <c r="D78" i="1"/>
  <c r="I18" i="1"/>
  <c r="K18" i="1" s="1"/>
  <c r="K21" i="1" s="1"/>
  <c r="D82" i="1"/>
  <c r="D81" i="1"/>
  <c r="D80" i="1"/>
  <c r="D79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86" i="1" s="1"/>
  <c r="C85" i="1"/>
  <c r="C84" i="1"/>
  <c r="C83" i="1"/>
  <c r="C82" i="1"/>
  <c r="E82" i="1" s="1"/>
  <c r="C81" i="1"/>
  <c r="C80" i="1"/>
  <c r="C79" i="1"/>
  <c r="C78" i="1"/>
  <c r="E78" i="1" s="1"/>
  <c r="C77" i="1"/>
  <c r="C76" i="1"/>
  <c r="C75" i="1"/>
  <c r="C74" i="1"/>
  <c r="I74" i="1" s="1"/>
  <c r="C73" i="1"/>
  <c r="C72" i="1"/>
  <c r="C71" i="1"/>
  <c r="C70" i="1"/>
  <c r="I70" i="1" s="1"/>
  <c r="C69" i="1"/>
  <c r="C68" i="1"/>
  <c r="C67" i="1"/>
  <c r="C66" i="1"/>
  <c r="C65" i="1"/>
  <c r="C64" i="1"/>
  <c r="C63" i="1"/>
  <c r="E63" i="1" s="1"/>
  <c r="C86" i="1"/>
  <c r="B85" i="1"/>
  <c r="E85" i="1" s="1"/>
  <c r="B84" i="1"/>
  <c r="I84" i="1" s="1"/>
  <c r="B83" i="1"/>
  <c r="I83" i="1" s="1"/>
  <c r="B82" i="1"/>
  <c r="I82" i="1" s="1"/>
  <c r="B81" i="1"/>
  <c r="E81" i="1"/>
  <c r="B80" i="1"/>
  <c r="I80" i="1" s="1"/>
  <c r="B79" i="1"/>
  <c r="E79" i="1"/>
  <c r="B78" i="1"/>
  <c r="I78" i="1" s="1"/>
  <c r="B77" i="1"/>
  <c r="I77" i="1"/>
  <c r="B76" i="1"/>
  <c r="E76" i="1" s="1"/>
  <c r="B75" i="1"/>
  <c r="E75" i="1"/>
  <c r="B74" i="1"/>
  <c r="E74" i="1" s="1"/>
  <c r="B73" i="1"/>
  <c r="E73" i="1"/>
  <c r="B72" i="1"/>
  <c r="E72" i="1" s="1"/>
  <c r="B71" i="1"/>
  <c r="I71" i="1" s="1"/>
  <c r="E71" i="1"/>
  <c r="B70" i="1"/>
  <c r="E70" i="1" s="1"/>
  <c r="B69" i="1"/>
  <c r="E69" i="1"/>
  <c r="B68" i="1"/>
  <c r="E68" i="1" s="1"/>
  <c r="B67" i="1"/>
  <c r="E67" i="1"/>
  <c r="B66" i="1"/>
  <c r="E66" i="1" s="1"/>
  <c r="B65" i="1"/>
  <c r="E65" i="1"/>
  <c r="B64" i="1"/>
  <c r="E64" i="1" s="1"/>
  <c r="B63" i="1"/>
  <c r="I45" i="1"/>
  <c r="K45" i="1" s="1"/>
  <c r="I44" i="1"/>
  <c r="K44" i="1"/>
  <c r="I43" i="1"/>
  <c r="K43" i="1" s="1"/>
  <c r="I42" i="1"/>
  <c r="K42" i="1"/>
  <c r="I41" i="1"/>
  <c r="K41" i="1" s="1"/>
  <c r="I40" i="1"/>
  <c r="K40" i="1"/>
  <c r="I39" i="1"/>
  <c r="K39" i="1" s="1"/>
  <c r="I38" i="1"/>
  <c r="K38" i="1"/>
  <c r="I37" i="1"/>
  <c r="K37" i="1" s="1"/>
  <c r="I36" i="1"/>
  <c r="K36" i="1"/>
  <c r="I35" i="1"/>
  <c r="K35" i="1" s="1"/>
  <c r="I34" i="1"/>
  <c r="K34" i="1"/>
  <c r="I33" i="1"/>
  <c r="K33" i="1" s="1"/>
  <c r="I32" i="1"/>
  <c r="K32" i="1"/>
  <c r="I31" i="1"/>
  <c r="K31" i="1" s="1"/>
  <c r="I30" i="1"/>
  <c r="K30" i="1"/>
  <c r="I29" i="1"/>
  <c r="K29" i="1" s="1"/>
  <c r="I28" i="1"/>
  <c r="K28" i="1"/>
  <c r="I27" i="1"/>
  <c r="K27" i="1" s="1"/>
  <c r="I26" i="1"/>
  <c r="K26" i="1"/>
  <c r="I25" i="1"/>
  <c r="I47" i="1" s="1"/>
  <c r="J47" i="1"/>
  <c r="H47" i="1"/>
  <c r="G47" i="1"/>
  <c r="F47" i="1"/>
  <c r="I19" i="1"/>
  <c r="K19" i="1"/>
  <c r="J21" i="1"/>
  <c r="H21" i="1"/>
  <c r="G21" i="1"/>
  <c r="F21" i="1"/>
  <c r="D84" i="1"/>
  <c r="E84" i="1"/>
  <c r="D83" i="1"/>
  <c r="I69" i="1"/>
  <c r="G81" i="2"/>
  <c r="K81" i="2"/>
  <c r="H81" i="2"/>
  <c r="B81" i="2"/>
  <c r="I75" i="1"/>
  <c r="I64" i="1"/>
  <c r="I65" i="1"/>
  <c r="I67" i="1"/>
  <c r="I68" i="1"/>
  <c r="I72" i="1"/>
  <c r="I73" i="1"/>
  <c r="J86" i="1"/>
  <c r="E58" i="2"/>
  <c r="K33" i="3"/>
  <c r="E77" i="1"/>
  <c r="E80" i="1"/>
  <c r="I79" i="1"/>
  <c r="I81" i="1"/>
  <c r="I39" i="2"/>
  <c r="K39" i="2"/>
  <c r="I38" i="2"/>
  <c r="K38" i="2" s="1"/>
  <c r="I36" i="2"/>
  <c r="K36" i="2" s="1"/>
  <c r="I35" i="2"/>
  <c r="K35" i="2" s="1"/>
  <c r="I34" i="2"/>
  <c r="K34" i="2" s="1"/>
  <c r="I33" i="2"/>
  <c r="K33" i="2" s="1"/>
  <c r="I29" i="2"/>
  <c r="K29" i="2" s="1"/>
  <c r="E60" i="2"/>
  <c r="E62" i="2"/>
  <c r="E71" i="2"/>
  <c r="E73" i="2"/>
  <c r="E76" i="2"/>
  <c r="I75" i="2"/>
  <c r="L75" i="2"/>
  <c r="I77" i="2"/>
  <c r="I21" i="1"/>
  <c r="E63" i="2"/>
  <c r="E72" i="2"/>
  <c r="J77" i="2"/>
  <c r="K35" i="3"/>
  <c r="H47" i="2"/>
  <c r="E83" i="1"/>
  <c r="J78" i="2" l="1"/>
  <c r="L78" i="2"/>
  <c r="K25" i="2"/>
  <c r="K47" i="2" s="1"/>
  <c r="J68" i="2"/>
  <c r="L68" i="2" s="1"/>
  <c r="E68" i="2"/>
  <c r="L77" i="2"/>
  <c r="E74" i="2"/>
  <c r="I58" i="2"/>
  <c r="I18" i="2"/>
  <c r="K18" i="2" s="1"/>
  <c r="I65" i="2"/>
  <c r="I32" i="2"/>
  <c r="K32" i="2" s="1"/>
  <c r="I37" i="2"/>
  <c r="K37" i="2" s="1"/>
  <c r="H21" i="2"/>
  <c r="I79" i="2"/>
  <c r="J74" i="2"/>
  <c r="L74" i="2"/>
  <c r="I67" i="2"/>
  <c r="E67" i="2"/>
  <c r="J72" i="2"/>
  <c r="L72" i="2"/>
  <c r="J66" i="2"/>
  <c r="L66" i="2" s="1"/>
  <c r="J62" i="2"/>
  <c r="L62" i="2"/>
  <c r="J65" i="2"/>
  <c r="L65" i="2" s="1"/>
  <c r="I69" i="2"/>
  <c r="E59" i="2"/>
  <c r="C81" i="2"/>
  <c r="I59" i="2"/>
  <c r="E66" i="2"/>
  <c r="J76" i="2"/>
  <c r="L76" i="2" s="1"/>
  <c r="J79" i="2"/>
  <c r="L79" i="2" s="1"/>
  <c r="K25" i="3"/>
  <c r="K47" i="3" s="1"/>
  <c r="I47" i="3"/>
  <c r="I70" i="2"/>
  <c r="E70" i="2"/>
  <c r="E61" i="2"/>
  <c r="I61" i="2"/>
  <c r="I80" i="2"/>
  <c r="K18" i="3"/>
  <c r="K21" i="3" s="1"/>
  <c r="I21" i="3"/>
  <c r="J64" i="2"/>
  <c r="L64" i="2"/>
  <c r="E64" i="2"/>
  <c r="E86" i="1"/>
  <c r="I63" i="1"/>
  <c r="J58" i="2"/>
  <c r="L58" i="2"/>
  <c r="K25" i="1"/>
  <c r="K47" i="1" s="1"/>
  <c r="B86" i="1"/>
  <c r="E69" i="2"/>
  <c r="I85" i="1"/>
  <c r="L85" i="1" s="1"/>
  <c r="L86" i="1" s="1"/>
  <c r="I76" i="1"/>
  <c r="I66" i="1"/>
  <c r="I19" i="2"/>
  <c r="I47" i="2" l="1"/>
  <c r="K19" i="2"/>
  <c r="K21" i="2" s="1"/>
  <c r="I21" i="2"/>
  <c r="E81" i="2"/>
  <c r="J80" i="2"/>
  <c r="L80" i="2" s="1"/>
  <c r="J70" i="2"/>
  <c r="L70" i="2"/>
  <c r="J69" i="2"/>
  <c r="L69" i="2" s="1"/>
  <c r="I86" i="1"/>
  <c r="J59" i="2"/>
  <c r="J81" i="2" s="1"/>
  <c r="I81" i="2"/>
  <c r="J67" i="2"/>
  <c r="L67" i="2" s="1"/>
  <c r="L59" i="2" l="1"/>
  <c r="L81" i="2" s="1"/>
</calcChain>
</file>

<file path=xl/sharedStrings.xml><?xml version="1.0" encoding="utf-8"?>
<sst xmlns="http://schemas.openxmlformats.org/spreadsheetml/2006/main" count="412" uniqueCount="146">
  <si>
    <t>UCRFS</t>
  </si>
  <si>
    <t>Page No.  1</t>
  </si>
  <si>
    <t>Report ID: CORPFIN</t>
  </si>
  <si>
    <t>CORPORATE FINANCIAL ACTIVITY SUMMARY REPORT</t>
  </si>
  <si>
    <t>Run Time 08:10:32</t>
  </si>
  <si>
    <t>Parameters:</t>
  </si>
  <si>
    <t>Setid:  UCR</t>
  </si>
  <si>
    <t xml:space="preserve">      ORGANIZATIONAL STRUCTURE</t>
  </si>
  <si>
    <t>Business Unit: UCR</t>
  </si>
  <si>
    <t>Activity: ALL</t>
  </si>
  <si>
    <t>Function: ALL</t>
  </si>
  <si>
    <t>Account: ALL</t>
  </si>
  <si>
    <t>BUDGET</t>
  </si>
  <si>
    <t xml:space="preserve">PERMANENT </t>
  </si>
  <si>
    <t xml:space="preserve">CURRENT </t>
  </si>
  <si>
    <t xml:space="preserve">BALANCE </t>
  </si>
  <si>
    <t>FUNCTION</t>
  </si>
  <si>
    <t>FUND</t>
  </si>
  <si>
    <t>CATEGORY</t>
  </si>
  <si>
    <t>EXPENDITURES</t>
  </si>
  <si>
    <t>BALANCE</t>
  </si>
  <si>
    <t>EMCUMBRANCES</t>
  </si>
  <si>
    <t>W/ENCUMBRANCES</t>
  </si>
  <si>
    <t>BC25 - BC, Staff Appointments</t>
  </si>
  <si>
    <t>BC30 - BC, Benefits - Staff</t>
  </si>
  <si>
    <t>BC40 - BC, Travel</t>
  </si>
  <si>
    <t>BC41 - BC, Supplies and Materials</t>
  </si>
  <si>
    <t>BC42 - BC, Services, Other</t>
  </si>
  <si>
    <t>BC43 - BC, Mail Services &amp; Freight</t>
  </si>
  <si>
    <t>BC44 - BC, Printing/Repro &amp; Media</t>
  </si>
  <si>
    <t>BC45 - BC, Communications</t>
  </si>
  <si>
    <t>BC46 - BC, Computing - Includding COGS</t>
  </si>
  <si>
    <t>BC47 - BC, Other , S&amp;E</t>
  </si>
  <si>
    <t>Accounting Period: 12</t>
  </si>
  <si>
    <t>Adjusted</t>
  </si>
  <si>
    <t>*Final</t>
  </si>
  <si>
    <t>June 30</t>
  </si>
  <si>
    <t>*Closing (1)</t>
  </si>
  <si>
    <t>General Ledger</t>
  </si>
  <si>
    <t>Financial</t>
  </si>
  <si>
    <t>Temp BEA</t>
  </si>
  <si>
    <t>Balance</t>
  </si>
  <si>
    <t>Adjustments</t>
  </si>
  <si>
    <t>Entries</t>
  </si>
  <si>
    <t>Balance (2)</t>
  </si>
  <si>
    <t>BC25</t>
  </si>
  <si>
    <t>Late Pay-Jones</t>
  </si>
  <si>
    <t>BC30</t>
  </si>
  <si>
    <t>Late Pay benefits</t>
  </si>
  <si>
    <t>BC40</t>
  </si>
  <si>
    <t>BC41</t>
  </si>
  <si>
    <t>June office supplies</t>
  </si>
  <si>
    <t>BC42</t>
  </si>
  <si>
    <t>BC43</t>
  </si>
  <si>
    <t>BC44</t>
  </si>
  <si>
    <t>BC45</t>
  </si>
  <si>
    <t>BC46</t>
  </si>
  <si>
    <t>BC47</t>
  </si>
  <si>
    <t>BC75</t>
  </si>
  <si>
    <t>Total</t>
  </si>
  <si>
    <t>*Checkpoints:</t>
  </si>
  <si>
    <t>4.  The total of the Closing Temporary BEA column should equal zero.</t>
  </si>
  <si>
    <t>Run Time 10:35:38</t>
  </si>
  <si>
    <t>Accounting Period: 11</t>
  </si>
  <si>
    <t>BC60</t>
  </si>
  <si>
    <t xml:space="preserve">          ORG19 - Vice Chancellor Administration</t>
  </si>
  <si>
    <t xml:space="preserve">            Financial/Budgetary Adjustments</t>
  </si>
  <si>
    <t>Other</t>
  </si>
  <si>
    <t>Explanation</t>
  </si>
  <si>
    <t>BEA</t>
  </si>
  <si>
    <t>Line</t>
  </si>
  <si>
    <t>Budget</t>
  </si>
  <si>
    <t>Category</t>
  </si>
  <si>
    <t>Appropriations</t>
  </si>
  <si>
    <t xml:space="preserve">YTD </t>
  </si>
  <si>
    <t>Expend.</t>
  </si>
  <si>
    <t>Accruals</t>
  </si>
  <si>
    <t>3. The amount in the BC75 row in the last column should be the year end balance.</t>
  </si>
  <si>
    <t>YTD</t>
  </si>
  <si>
    <t>Finacial/Budgetary Adjustments</t>
  </si>
  <si>
    <t xml:space="preserve">     The Closing BEA journal is NOT to include Encumbrances.</t>
  </si>
  <si>
    <t>Encumbrances</t>
  </si>
  <si>
    <t>June Activity</t>
  </si>
  <si>
    <t>YEAR END BALANCE:</t>
  </si>
  <si>
    <t xml:space="preserve"> Bookstore</t>
  </si>
  <si>
    <t>B99999 - BR, Recharge</t>
  </si>
  <si>
    <t>BC48 - BC, Amortization/Depreciation</t>
  </si>
  <si>
    <t>BC49 - BC, Interest</t>
  </si>
  <si>
    <t>TOTAL ACTIVITY GENERAL A01242 GENERAL FUNDS</t>
  </si>
  <si>
    <t>TOTAL ACTIVITY GENERAL A01242 OTHER FUNDS</t>
  </si>
  <si>
    <t>ACTIVITY A01242 - Bookstore</t>
  </si>
  <si>
    <t>BC48</t>
  </si>
  <si>
    <t>BC49</t>
  </si>
  <si>
    <t>Equipment purchased</t>
  </si>
  <si>
    <t>B99999</t>
  </si>
  <si>
    <t>Recharges generated through 6/30</t>
  </si>
  <si>
    <t>B70000</t>
  </si>
  <si>
    <t>Deposits made through 6/29</t>
  </si>
  <si>
    <t>B70000 - BR, Auxiliary Enterpirse</t>
  </si>
  <si>
    <t>TOTAL ACTIVITY A01242 GENERAL FUNDS</t>
  </si>
  <si>
    <t>TOTAL ACTIVITY A01242 OTHER FUNDS</t>
  </si>
  <si>
    <t>FISCAL CLOSING SPREADSHEET --- 70050</t>
  </si>
  <si>
    <t>A/P; (End. Inv.)</t>
  </si>
  <si>
    <t xml:space="preserve">           Div133 - Other Auxiliary Enterprises</t>
  </si>
  <si>
    <t xml:space="preserve">            DO1113 - Bookstore</t>
  </si>
  <si>
    <t>Fund Code:  70050</t>
  </si>
  <si>
    <t>Activity/Fund/Function: A01242/70050/xx</t>
  </si>
  <si>
    <t>Expected</t>
  </si>
  <si>
    <t>(3)*</t>
  </si>
  <si>
    <t>(4)*</t>
  </si>
  <si>
    <t>MODIFIED Fiscal Closing Spreadsheet for May ledgers</t>
  </si>
  <si>
    <t>2.  The Final June 30 Balance should be zero for all categories except BC75.</t>
  </si>
  <si>
    <r>
      <t xml:space="preserve">Accounting Period: </t>
    </r>
    <r>
      <rPr>
        <b/>
        <sz val="10"/>
        <rFont val="Arial"/>
        <family val="2"/>
      </rPr>
      <t>998</t>
    </r>
  </si>
  <si>
    <t>Bookstore</t>
  </si>
  <si>
    <t>B70900- BR, S&amp;S Over and Short Cash</t>
  </si>
  <si>
    <t>BC26 - BC, Staff Stipends, Allows/OT</t>
  </si>
  <si>
    <t>BC27 - BC, Staff Other</t>
  </si>
  <si>
    <t>BC76 - BC, Unallocated Employee Ben</t>
  </si>
  <si>
    <t>BC77 - BC, Unallocated Staff Sal</t>
  </si>
  <si>
    <t>BC70 - BC, Facilities</t>
  </si>
  <si>
    <t>BC60 - BC, Equip/Other Inventorial</t>
  </si>
  <si>
    <t>BC75 - BC, Unallocated General</t>
  </si>
  <si>
    <t>BC31 - BC, Benefits - Staff Vac Accrual</t>
  </si>
  <si>
    <t>BC26</t>
  </si>
  <si>
    <t>BC27</t>
  </si>
  <si>
    <t>BC31</t>
  </si>
  <si>
    <t>BC70</t>
  </si>
  <si>
    <t>BC76</t>
  </si>
  <si>
    <t>BC77</t>
  </si>
  <si>
    <t>B70900</t>
  </si>
  <si>
    <t>Clear budget balances to BC75</t>
  </si>
  <si>
    <t>Cleared by VCA</t>
  </si>
  <si>
    <t>ENCUMBRANCES</t>
  </si>
  <si>
    <t>1.  Closing BEA entries should be the opposite sign of the "Adjusted 6/30/11 Balance".</t>
  </si>
  <si>
    <t>should equal fund equity</t>
  </si>
  <si>
    <t xml:space="preserve">     category may be closed out at the organizational level.</t>
  </si>
  <si>
    <t xml:space="preserve">      Check with your Organization CFAO unit regarding the close of BC30 &amp; BC31 - this budget </t>
  </si>
  <si>
    <t>Fiscal Year: 20XX</t>
  </si>
  <si>
    <t>Run Date 06/11/XX</t>
  </si>
  <si>
    <t>5/31/XX</t>
  </si>
  <si>
    <t>FY20XX (7/1/XX) Beg Balance</t>
  </si>
  <si>
    <t>FY20XX Suplus/Deficit</t>
  </si>
  <si>
    <t>FY20XX (6/30/XX) Ending Balance</t>
  </si>
  <si>
    <t>Run Date 07/05/XX</t>
  </si>
  <si>
    <t>6/30/XX</t>
  </si>
  <si>
    <t>Run Date 08/13/XX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</si>
</sst>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164" formatCode="dd\-mmm\-yy_)"/>
    <numFmt numFmtId="165" formatCode="mm/dd/yy;@"/>
    <numFmt numFmtId="166" formatCode="#,##0.0_);\(#,##0.0\)"/>
  </numFmts>
  <fonts count="7" x14ac:knownFonts="1">
    <font>
      <sz val="10"/>
      <name val="Arial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Courier New"/>
      <family val="3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>
      <alignment horizontal="center"/>
    </xf>
    <xf numFmtId="164" fontId="0" fillId="0" borderId="0" xfId="0" applyNumberFormat="1" applyProtection="1"/>
    <xf numFmtId="4" fontId="0" fillId="0" borderId="0" xfId="0" applyNumberFormat="1" applyProtection="1"/>
    <xf numFmtId="0" fontId="3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64" fontId="0" fillId="0" borderId="0" xfId="0" applyNumberFormat="1" applyBorder="1" applyProtection="1"/>
    <xf numFmtId="0" fontId="3" fillId="0" borderId="0" xfId="0" applyFont="1" applyBorder="1" applyAlignment="1" applyProtection="1">
      <alignment horizontal="left"/>
    </xf>
    <xf numFmtId="0" fontId="0" fillId="0" borderId="1" xfId="0" applyBorder="1"/>
    <xf numFmtId="0" fontId="0" fillId="0" borderId="0" xfId="0" applyProtection="1"/>
    <xf numFmtId="0" fontId="0" fillId="0" borderId="0" xfId="0" applyBorder="1"/>
    <xf numFmtId="4" fontId="0" fillId="0" borderId="0" xfId="0" applyNumberFormat="1"/>
    <xf numFmtId="0" fontId="4" fillId="0" borderId="0" xfId="0" applyFont="1"/>
    <xf numFmtId="0" fontId="0" fillId="0" borderId="0" xfId="0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/>
    <xf numFmtId="7" fontId="0" fillId="0" borderId="0" xfId="0" applyNumberFormat="1" applyProtection="1"/>
    <xf numFmtId="39" fontId="0" fillId="0" borderId="0" xfId="0" applyNumberFormat="1"/>
    <xf numFmtId="39" fontId="0" fillId="0" borderId="10" xfId="0" applyNumberFormat="1" applyBorder="1"/>
    <xf numFmtId="39" fontId="0" fillId="0" borderId="0" xfId="0" applyNumberFormat="1" applyBorder="1"/>
    <xf numFmtId="0" fontId="0" fillId="0" borderId="19" xfId="0" applyBorder="1"/>
    <xf numFmtId="0" fontId="0" fillId="0" borderId="20" xfId="0" applyBorder="1"/>
    <xf numFmtId="39" fontId="0" fillId="0" borderId="18" xfId="0" applyNumberFormat="1" applyBorder="1"/>
    <xf numFmtId="39" fontId="0" fillId="0" borderId="6" xfId="0" applyNumberFormat="1" applyBorder="1"/>
    <xf numFmtId="39" fontId="0" fillId="0" borderId="7" xfId="0" applyNumberFormat="1" applyBorder="1"/>
    <xf numFmtId="39" fontId="0" fillId="0" borderId="21" xfId="0" applyNumberFormat="1" applyBorder="1"/>
    <xf numFmtId="0" fontId="0" fillId="0" borderId="0" xfId="0" applyAlignment="1">
      <alignment horizontal="righ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4" xfId="0" applyBorder="1"/>
    <xf numFmtId="39" fontId="0" fillId="0" borderId="9" xfId="0" applyNumberFormat="1" applyBorder="1"/>
    <xf numFmtId="39" fontId="0" fillId="0" borderId="26" xfId="0" applyNumberFormat="1" applyBorder="1"/>
    <xf numFmtId="0" fontId="0" fillId="0" borderId="12" xfId="0" applyBorder="1"/>
    <xf numFmtId="0" fontId="0" fillId="0" borderId="27" xfId="0" applyBorder="1"/>
    <xf numFmtId="39" fontId="0" fillId="0" borderId="5" xfId="0" applyNumberFormat="1" applyBorder="1"/>
    <xf numFmtId="39" fontId="0" fillId="0" borderId="28" xfId="0" applyNumberForma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0" fontId="0" fillId="0" borderId="0" xfId="0" quotePrefix="1" applyBorder="1"/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16" fontId="0" fillId="0" borderId="10" xfId="0" applyNumberFormat="1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1" xfId="0" applyBorder="1"/>
    <xf numFmtId="16" fontId="0" fillId="0" borderId="0" xfId="0" quotePrefix="1" applyNumberFormat="1" applyBorder="1" applyAlignment="1">
      <alignment horizontal="center"/>
    </xf>
    <xf numFmtId="16" fontId="0" fillId="0" borderId="26" xfId="0" applyNumberFormat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30" xfId="0" applyBorder="1" applyAlignment="1">
      <alignment horizontal="left"/>
    </xf>
    <xf numFmtId="0" fontId="5" fillId="0" borderId="0" xfId="0" applyFont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4" fontId="0" fillId="0" borderId="6" xfId="0" applyNumberFormat="1" applyBorder="1"/>
    <xf numFmtId="39" fontId="0" fillId="0" borderId="14" xfId="0" applyNumberFormat="1" applyBorder="1"/>
    <xf numFmtId="39" fontId="0" fillId="0" borderId="9" xfId="0" applyNumberFormat="1" applyFill="1" applyBorder="1"/>
    <xf numFmtId="39" fontId="0" fillId="0" borderId="26" xfId="0" applyNumberFormat="1" applyFill="1" applyBorder="1"/>
    <xf numFmtId="39" fontId="0" fillId="0" borderId="0" xfId="0" applyNumberFormat="1" applyFill="1" applyBorder="1"/>
    <xf numFmtId="4" fontId="0" fillId="0" borderId="0" xfId="0" applyNumberFormat="1" applyAlignment="1" applyProtection="1">
      <alignment horizontal="left"/>
    </xf>
    <xf numFmtId="0" fontId="0" fillId="0" borderId="10" xfId="0" applyBorder="1"/>
    <xf numFmtId="166" fontId="0" fillId="0" borderId="0" xfId="0" applyNumberFormat="1" applyBorder="1" applyAlignment="1" applyProtection="1"/>
    <xf numFmtId="166" fontId="0" fillId="0" borderId="0" xfId="0" applyNumberFormat="1" applyBorder="1" applyAlignment="1" applyProtection="1">
      <alignment horizontal="left"/>
    </xf>
    <xf numFmtId="166" fontId="0" fillId="0" borderId="0" xfId="0" applyNumberFormat="1" applyBorder="1" applyProtection="1"/>
    <xf numFmtId="166" fontId="0" fillId="0" borderId="0" xfId="0" applyNumberFormat="1" applyBorder="1"/>
    <xf numFmtId="39" fontId="0" fillId="0" borderId="0" xfId="0" applyNumberFormat="1" applyProtection="1"/>
    <xf numFmtId="39" fontId="0" fillId="0" borderId="0" xfId="0" applyNumberFormat="1" applyAlignment="1" applyProtection="1">
      <alignment horizontal="left"/>
    </xf>
    <xf numFmtId="0" fontId="6" fillId="0" borderId="0" xfId="0" applyFont="1" applyAlignment="1" applyProtection="1">
      <alignment horizontal="left"/>
    </xf>
    <xf numFmtId="14" fontId="6" fillId="0" borderId="26" xfId="0" quotePrefix="1" applyNumberFormat="1" applyFont="1" applyBorder="1" applyAlignment="1">
      <alignment horizontal="center"/>
    </xf>
    <xf numFmtId="0" fontId="6" fillId="0" borderId="5" xfId="1" applyBorder="1"/>
    <xf numFmtId="0" fontId="6" fillId="0" borderId="7" xfId="1" applyBorder="1"/>
    <xf numFmtId="39" fontId="6" fillId="0" borderId="29" xfId="1" applyNumberFormat="1" applyBorder="1"/>
    <xf numFmtId="14" fontId="6" fillId="0" borderId="31" xfId="1" applyNumberFormat="1" applyBorder="1" applyAlignment="1">
      <alignment wrapText="1"/>
    </xf>
    <xf numFmtId="39" fontId="6" fillId="0" borderId="32" xfId="1" applyNumberFormat="1" applyBorder="1"/>
    <xf numFmtId="0" fontId="6" fillId="0" borderId="33" xfId="1" quotePrefix="1" applyBorder="1" applyAlignment="1">
      <alignment wrapText="1"/>
    </xf>
    <xf numFmtId="39" fontId="6" fillId="0" borderId="34" xfId="1" applyNumberFormat="1" applyBorder="1"/>
    <xf numFmtId="14" fontId="6" fillId="0" borderId="35" xfId="1" applyNumberFormat="1" applyFont="1" applyBorder="1" applyAlignment="1">
      <alignment wrapText="1"/>
    </xf>
    <xf numFmtId="16" fontId="6" fillId="0" borderId="0" xfId="0" quotePrefix="1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9" xfId="0" applyBorder="1" applyAlignment="1">
      <alignment horizontal="center"/>
    </xf>
    <xf numFmtId="0" fontId="0" fillId="0" borderId="0" xfId="0" applyAlignment="1"/>
    <xf numFmtId="0" fontId="0" fillId="0" borderId="18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tabSelected="1" view="pageBreakPreview" topLeftCell="A13" zoomScaleNormal="100" zoomScaleSheetLayoutView="100" workbookViewId="0">
      <selection activeCell="A54" sqref="A54"/>
    </sheetView>
  </sheetViews>
  <sheetFormatPr defaultRowHeight="13.2" x14ac:dyDescent="0.25"/>
  <cols>
    <col min="1" max="1" width="10.44140625" customWidth="1"/>
    <col min="2" max="2" width="18.6640625" customWidth="1"/>
    <col min="3" max="3" width="19.44140625" customWidth="1"/>
    <col min="4" max="4" width="15.6640625" customWidth="1"/>
    <col min="5" max="5" width="23.33203125" customWidth="1"/>
    <col min="6" max="6" width="21.88671875" customWidth="1"/>
    <col min="7" max="7" width="17.33203125" customWidth="1"/>
    <col min="8" max="8" width="40.5546875" bestFit="1" customWidth="1"/>
    <col min="9" max="9" width="15.88671875" customWidth="1"/>
    <col min="10" max="10" width="18.44140625" customWidth="1"/>
    <col min="11" max="11" width="23.44140625" customWidth="1"/>
    <col min="12" max="12" width="19.6640625" customWidth="1"/>
  </cols>
  <sheetData>
    <row r="1" spans="1:14" x14ac:dyDescent="0.25">
      <c r="E1" s="1" t="s">
        <v>0</v>
      </c>
      <c r="J1" t="s">
        <v>1</v>
      </c>
    </row>
    <row r="2" spans="1:14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96" t="s">
        <v>138</v>
      </c>
      <c r="K2" s="2"/>
      <c r="L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 t="s">
        <v>62</v>
      </c>
      <c r="K3" s="2"/>
      <c r="L3" s="2"/>
    </row>
    <row r="4" spans="1:14" x14ac:dyDescent="0.25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5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2"/>
    </row>
    <row r="6" spans="1:14" x14ac:dyDescent="0.25">
      <c r="A6" s="2"/>
      <c r="B6" s="2" t="s">
        <v>8</v>
      </c>
      <c r="C6" s="2" t="s">
        <v>65</v>
      </c>
      <c r="D6" s="2"/>
      <c r="E6" s="2"/>
      <c r="F6" s="2"/>
      <c r="G6" s="2"/>
      <c r="H6" s="2"/>
      <c r="I6" s="2"/>
      <c r="J6" s="2"/>
      <c r="K6" s="2"/>
      <c r="L6" s="2"/>
    </row>
    <row r="7" spans="1:14" x14ac:dyDescent="0.25">
      <c r="A7" s="2"/>
      <c r="B7" s="96" t="s">
        <v>137</v>
      </c>
      <c r="C7" s="2" t="s">
        <v>103</v>
      </c>
      <c r="D7" s="2"/>
      <c r="E7" s="2"/>
      <c r="F7" s="2"/>
      <c r="G7" s="2"/>
      <c r="H7" s="2"/>
      <c r="I7" s="2"/>
      <c r="J7" s="2"/>
      <c r="K7" s="2"/>
      <c r="L7" s="2"/>
    </row>
    <row r="8" spans="1:14" x14ac:dyDescent="0.25">
      <c r="A8" s="2"/>
      <c r="B8" s="2" t="s">
        <v>9</v>
      </c>
      <c r="C8" s="2" t="s">
        <v>104</v>
      </c>
      <c r="D8" s="2"/>
      <c r="E8" s="2"/>
      <c r="F8" s="2"/>
      <c r="G8" s="2"/>
      <c r="H8" s="2"/>
      <c r="I8" s="2"/>
      <c r="J8" s="2"/>
      <c r="K8" s="2"/>
      <c r="L8" s="2"/>
    </row>
    <row r="9" spans="1:14" x14ac:dyDescent="0.25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 x14ac:dyDescent="0.25">
      <c r="A10" s="2"/>
      <c r="B10" s="2" t="s">
        <v>105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4" x14ac:dyDescent="0.2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4" ht="13.5" customHeight="1" x14ac:dyDescent="0.25">
      <c r="A12" s="2"/>
      <c r="B12" s="2" t="s">
        <v>63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2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4" ht="12.75" customHeight="1" x14ac:dyDescent="0.25">
      <c r="A14" s="2"/>
      <c r="B14" s="2"/>
      <c r="D14" s="2" t="s">
        <v>12</v>
      </c>
      <c r="E14" s="2"/>
      <c r="F14" s="4" t="s">
        <v>13</v>
      </c>
      <c r="G14" s="4" t="s">
        <v>14</v>
      </c>
      <c r="H14" s="4"/>
      <c r="I14" s="4"/>
      <c r="J14" s="4"/>
      <c r="K14" s="4" t="s">
        <v>15</v>
      </c>
    </row>
    <row r="15" spans="1:14" x14ac:dyDescent="0.25">
      <c r="A15" s="3" t="s">
        <v>16</v>
      </c>
      <c r="B15" s="3" t="s">
        <v>17</v>
      </c>
      <c r="D15" s="3" t="s">
        <v>18</v>
      </c>
      <c r="E15" s="2"/>
      <c r="F15" s="5" t="s">
        <v>12</v>
      </c>
      <c r="G15" s="5" t="s">
        <v>12</v>
      </c>
      <c r="H15" s="6" t="s">
        <v>19</v>
      </c>
      <c r="I15" s="7" t="s">
        <v>20</v>
      </c>
      <c r="J15" s="5" t="s">
        <v>132</v>
      </c>
      <c r="K15" s="6" t="s">
        <v>22</v>
      </c>
      <c r="M15" s="16"/>
      <c r="N15" s="16"/>
    </row>
    <row r="16" spans="1:14" x14ac:dyDescent="0.25">
      <c r="A16" s="3"/>
      <c r="B16" s="3"/>
      <c r="D16" s="3"/>
      <c r="E16" s="2"/>
      <c r="F16" s="9"/>
      <c r="G16" s="9"/>
      <c r="H16" s="34"/>
      <c r="I16" s="82"/>
      <c r="J16" s="9"/>
      <c r="K16" s="34"/>
      <c r="M16" s="18"/>
      <c r="N16" s="18"/>
    </row>
    <row r="17" spans="1:17" x14ac:dyDescent="0.25">
      <c r="A17" s="13" t="s">
        <v>90</v>
      </c>
      <c r="B17" s="2"/>
      <c r="C17" s="2"/>
      <c r="D17" s="2"/>
      <c r="E17" s="2"/>
      <c r="F17" s="2"/>
      <c r="G17" s="2"/>
      <c r="I17" s="2"/>
      <c r="J17" s="2"/>
    </row>
    <row r="18" spans="1:17" x14ac:dyDescent="0.25">
      <c r="A18" s="9">
        <v>20</v>
      </c>
      <c r="B18">
        <v>70050</v>
      </c>
      <c r="C18" s="8" t="s">
        <v>84</v>
      </c>
      <c r="D18" s="10" t="s">
        <v>98</v>
      </c>
      <c r="F18" s="11">
        <v>-8498720</v>
      </c>
      <c r="G18" s="11">
        <v>-8766135</v>
      </c>
      <c r="H18" s="11">
        <v>-7104439.75</v>
      </c>
      <c r="I18" s="11">
        <f>G18-H18</f>
        <v>-1661695.25</v>
      </c>
      <c r="J18" s="11">
        <v>0</v>
      </c>
      <c r="K18" s="11">
        <f>I18-J18</f>
        <v>-1661695.25</v>
      </c>
    </row>
    <row r="19" spans="1:17" x14ac:dyDescent="0.25">
      <c r="A19" s="9">
        <v>20</v>
      </c>
      <c r="B19">
        <v>70050</v>
      </c>
      <c r="C19" s="8" t="s">
        <v>113</v>
      </c>
      <c r="D19" s="10" t="s">
        <v>114</v>
      </c>
      <c r="F19" s="11">
        <v>0</v>
      </c>
      <c r="G19" s="11">
        <v>0</v>
      </c>
      <c r="H19" s="11">
        <v>-272.52</v>
      </c>
      <c r="I19" s="11">
        <f>G19-H19</f>
        <v>272.52</v>
      </c>
      <c r="J19" s="11">
        <v>0</v>
      </c>
      <c r="K19" s="11">
        <f>I19-J19</f>
        <v>272.52</v>
      </c>
    </row>
    <row r="20" spans="1:17" ht="13.8" x14ac:dyDescent="0.3">
      <c r="A20" s="12" t="s">
        <v>99</v>
      </c>
      <c r="B20" s="81"/>
      <c r="C20" s="2"/>
      <c r="D20" s="10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7" x14ac:dyDescent="0.25">
      <c r="A21" s="12" t="s">
        <v>100</v>
      </c>
      <c r="B21" s="2"/>
      <c r="C21" s="2"/>
      <c r="D21" s="10"/>
      <c r="F21" s="11">
        <f t="shared" ref="F21:K21" si="0">SUM(F18:F19)</f>
        <v>-8498720</v>
      </c>
      <c r="G21" s="11">
        <f t="shared" si="0"/>
        <v>-8766135</v>
      </c>
      <c r="H21" s="11">
        <f t="shared" si="0"/>
        <v>-7104712.2699999996</v>
      </c>
      <c r="I21" s="11">
        <f t="shared" si="0"/>
        <v>-1661422.73</v>
      </c>
      <c r="J21" s="11">
        <f t="shared" si="0"/>
        <v>0</v>
      </c>
      <c r="K21" s="11">
        <f t="shared" si="0"/>
        <v>-1661422.73</v>
      </c>
    </row>
    <row r="22" spans="1:17" x14ac:dyDescent="0.25">
      <c r="A22" s="2"/>
      <c r="B22" s="2"/>
      <c r="C22" s="2"/>
      <c r="D22" s="2"/>
      <c r="E22" s="2"/>
      <c r="F22" s="2"/>
      <c r="G22" s="2"/>
      <c r="I22" s="2"/>
      <c r="J22" s="2"/>
    </row>
    <row r="23" spans="1:17" x14ac:dyDescent="0.25">
      <c r="A23" s="2"/>
      <c r="B23" s="2"/>
      <c r="C23" s="2"/>
      <c r="D23" s="2"/>
      <c r="E23" s="2"/>
      <c r="F23" s="2"/>
      <c r="G23" s="2"/>
      <c r="I23" s="2"/>
      <c r="J23" s="2"/>
    </row>
    <row r="24" spans="1:17" x14ac:dyDescent="0.25">
      <c r="A24" s="13" t="s">
        <v>90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x14ac:dyDescent="0.25">
      <c r="A25" s="9">
        <v>76</v>
      </c>
      <c r="B25">
        <v>70050</v>
      </c>
      <c r="C25" s="8" t="s">
        <v>84</v>
      </c>
      <c r="D25" s="14" t="s">
        <v>85</v>
      </c>
      <c r="F25" s="11">
        <v>-1572311</v>
      </c>
      <c r="G25" s="11">
        <v>-1536395</v>
      </c>
      <c r="H25" s="11">
        <v>-24356.92</v>
      </c>
      <c r="I25" s="11">
        <f>G25-H25</f>
        <v>-1512038.08</v>
      </c>
      <c r="J25" s="11">
        <v>0</v>
      </c>
      <c r="K25" s="11">
        <f>I25-J25</f>
        <v>-1512038.08</v>
      </c>
      <c r="M25" s="17"/>
      <c r="Q25" s="18"/>
    </row>
    <row r="26" spans="1:17" x14ac:dyDescent="0.25">
      <c r="A26" s="9">
        <v>76</v>
      </c>
      <c r="B26">
        <v>70050</v>
      </c>
      <c r="C26" s="8" t="s">
        <v>84</v>
      </c>
      <c r="D26" s="2" t="s">
        <v>23</v>
      </c>
      <c r="F26" s="11">
        <v>984613</v>
      </c>
      <c r="G26" s="11">
        <v>1055815</v>
      </c>
      <c r="H26" s="11">
        <v>680131.52</v>
      </c>
      <c r="I26" s="11">
        <f t="shared" ref="I26:I45" si="1">G26-H26</f>
        <v>375683.48</v>
      </c>
      <c r="J26" s="11">
        <v>0</v>
      </c>
      <c r="K26" s="11">
        <f t="shared" ref="K26:K45" si="2">I26-J26</f>
        <v>375683.48</v>
      </c>
      <c r="M26" s="17"/>
      <c r="Q26" s="18"/>
    </row>
    <row r="27" spans="1:17" x14ac:dyDescent="0.25">
      <c r="A27" s="9">
        <v>76</v>
      </c>
      <c r="B27">
        <v>70050</v>
      </c>
      <c r="C27" s="8" t="s">
        <v>84</v>
      </c>
      <c r="D27" s="2" t="s">
        <v>115</v>
      </c>
      <c r="F27" s="11">
        <v>13050</v>
      </c>
      <c r="G27" s="11">
        <v>12000</v>
      </c>
      <c r="H27" s="11">
        <v>6424.92</v>
      </c>
      <c r="I27" s="11">
        <f t="shared" si="1"/>
        <v>5575.08</v>
      </c>
      <c r="J27" s="11">
        <v>0</v>
      </c>
      <c r="K27" s="11">
        <f t="shared" si="2"/>
        <v>5575.08</v>
      </c>
      <c r="M27" s="17"/>
      <c r="Q27" s="18"/>
    </row>
    <row r="28" spans="1:17" x14ac:dyDescent="0.25">
      <c r="A28" s="9">
        <v>76</v>
      </c>
      <c r="B28">
        <v>70050</v>
      </c>
      <c r="C28" s="8" t="s">
        <v>84</v>
      </c>
      <c r="D28" s="2" t="s">
        <v>116</v>
      </c>
      <c r="F28" s="11">
        <v>200</v>
      </c>
      <c r="G28" s="11">
        <v>200</v>
      </c>
      <c r="H28" s="11">
        <v>0</v>
      </c>
      <c r="I28" s="11">
        <f t="shared" si="1"/>
        <v>200</v>
      </c>
      <c r="J28" s="11">
        <v>0</v>
      </c>
      <c r="K28" s="11">
        <f t="shared" si="2"/>
        <v>200</v>
      </c>
      <c r="M28" s="17"/>
      <c r="Q28" s="18"/>
    </row>
    <row r="29" spans="1:17" x14ac:dyDescent="0.25">
      <c r="A29" s="9">
        <v>76</v>
      </c>
      <c r="B29">
        <v>70050</v>
      </c>
      <c r="C29" s="8" t="s">
        <v>84</v>
      </c>
      <c r="D29" s="2" t="s">
        <v>24</v>
      </c>
      <c r="F29" s="11">
        <v>327119</v>
      </c>
      <c r="G29" s="11">
        <v>363597</v>
      </c>
      <c r="H29" s="11">
        <v>203382.49</v>
      </c>
      <c r="I29" s="11">
        <f t="shared" si="1"/>
        <v>160214.51</v>
      </c>
      <c r="J29" s="11">
        <v>0</v>
      </c>
      <c r="K29" s="11">
        <f t="shared" si="2"/>
        <v>160214.51</v>
      </c>
      <c r="M29" s="17"/>
      <c r="Q29" s="18"/>
    </row>
    <row r="30" spans="1:17" x14ac:dyDescent="0.25">
      <c r="A30" s="9">
        <v>76</v>
      </c>
      <c r="B30">
        <v>70050</v>
      </c>
      <c r="C30" s="8" t="s">
        <v>84</v>
      </c>
      <c r="D30" s="2" t="s">
        <v>122</v>
      </c>
      <c r="F30" s="11">
        <v>0</v>
      </c>
      <c r="G30" s="11">
        <v>0</v>
      </c>
      <c r="H30" s="11">
        <v>188.58</v>
      </c>
      <c r="I30" s="11">
        <f>G30-H30</f>
        <v>-188.58</v>
      </c>
      <c r="J30" s="11">
        <v>0</v>
      </c>
      <c r="K30" s="11">
        <f t="shared" si="2"/>
        <v>-188.58</v>
      </c>
      <c r="M30" s="17"/>
      <c r="Q30" s="18"/>
    </row>
    <row r="31" spans="1:17" x14ac:dyDescent="0.25">
      <c r="A31" s="9">
        <v>76</v>
      </c>
      <c r="B31">
        <v>70050</v>
      </c>
      <c r="C31" s="8" t="s">
        <v>84</v>
      </c>
      <c r="D31" s="2" t="s">
        <v>25</v>
      </c>
      <c r="F31" s="11">
        <v>5900</v>
      </c>
      <c r="G31" s="11">
        <v>5900</v>
      </c>
      <c r="H31" s="11">
        <v>214.21</v>
      </c>
      <c r="I31" s="11">
        <f t="shared" si="1"/>
        <v>5685.79</v>
      </c>
      <c r="J31" s="11">
        <v>0</v>
      </c>
      <c r="K31" s="11">
        <f t="shared" si="2"/>
        <v>5685.79</v>
      </c>
      <c r="M31" s="17"/>
      <c r="Q31" s="18"/>
    </row>
    <row r="32" spans="1:17" x14ac:dyDescent="0.25">
      <c r="A32" s="9">
        <v>76</v>
      </c>
      <c r="B32">
        <v>70050</v>
      </c>
      <c r="C32" s="8" t="s">
        <v>84</v>
      </c>
      <c r="D32" s="2" t="s">
        <v>26</v>
      </c>
      <c r="F32" s="11">
        <v>7177473</v>
      </c>
      <c r="G32" s="11">
        <v>7484693</v>
      </c>
      <c r="H32" s="11">
        <v>7204192.4199999999</v>
      </c>
      <c r="I32" s="11">
        <f t="shared" si="1"/>
        <v>280500.58000000007</v>
      </c>
      <c r="J32" s="11">
        <v>1278.3900000000001</v>
      </c>
      <c r="K32" s="11">
        <f t="shared" si="2"/>
        <v>279222.19000000006</v>
      </c>
      <c r="M32" s="17"/>
      <c r="Q32" s="18"/>
    </row>
    <row r="33" spans="1:17" x14ac:dyDescent="0.25">
      <c r="A33" s="9">
        <v>76</v>
      </c>
      <c r="B33">
        <v>70050</v>
      </c>
      <c r="C33" s="8" t="s">
        <v>84</v>
      </c>
      <c r="D33" s="2" t="s">
        <v>27</v>
      </c>
      <c r="F33" s="11">
        <v>251165</v>
      </c>
      <c r="G33" s="11">
        <v>244601</v>
      </c>
      <c r="H33" s="11">
        <v>155460.51999999999</v>
      </c>
      <c r="I33" s="11">
        <f t="shared" si="1"/>
        <v>89140.48000000001</v>
      </c>
      <c r="J33" s="11">
        <v>14020.51</v>
      </c>
      <c r="K33" s="11">
        <f t="shared" si="2"/>
        <v>75119.970000000016</v>
      </c>
      <c r="M33" s="17"/>
      <c r="Q33" s="18"/>
    </row>
    <row r="34" spans="1:17" x14ac:dyDescent="0.25">
      <c r="A34" s="9">
        <v>76</v>
      </c>
      <c r="B34">
        <v>70050</v>
      </c>
      <c r="C34" s="8" t="s">
        <v>84</v>
      </c>
      <c r="D34" s="2" t="s">
        <v>28</v>
      </c>
      <c r="F34" s="11">
        <v>312200</v>
      </c>
      <c r="G34" s="11">
        <v>307404</v>
      </c>
      <c r="H34" s="11">
        <v>163735.95000000001</v>
      </c>
      <c r="I34" s="11">
        <f t="shared" si="1"/>
        <v>143668.04999999999</v>
      </c>
      <c r="J34" s="11">
        <v>10.76</v>
      </c>
      <c r="K34" s="11">
        <f t="shared" si="2"/>
        <v>143657.28999999998</v>
      </c>
      <c r="M34" s="17"/>
      <c r="Q34" s="18"/>
    </row>
    <row r="35" spans="1:17" x14ac:dyDescent="0.25">
      <c r="A35" s="9">
        <v>76</v>
      </c>
      <c r="B35">
        <v>70050</v>
      </c>
      <c r="C35" s="8" t="s">
        <v>84</v>
      </c>
      <c r="D35" s="2" t="s">
        <v>29</v>
      </c>
      <c r="F35" s="11">
        <v>18300</v>
      </c>
      <c r="G35" s="11">
        <v>17100</v>
      </c>
      <c r="H35" s="11">
        <v>14618.83</v>
      </c>
      <c r="I35" s="11">
        <f t="shared" si="1"/>
        <v>2481.17</v>
      </c>
      <c r="J35" s="11">
        <v>0</v>
      </c>
      <c r="K35" s="11">
        <f t="shared" si="2"/>
        <v>2481.17</v>
      </c>
      <c r="M35" s="17"/>
      <c r="Q35" s="18"/>
    </row>
    <row r="36" spans="1:17" x14ac:dyDescent="0.25">
      <c r="A36" s="9">
        <v>76</v>
      </c>
      <c r="B36">
        <v>70050</v>
      </c>
      <c r="C36" s="8" t="s">
        <v>84</v>
      </c>
      <c r="D36" s="2" t="s">
        <v>30</v>
      </c>
      <c r="F36" s="11">
        <v>27775</v>
      </c>
      <c r="G36" s="11">
        <v>28696</v>
      </c>
      <c r="H36" s="11">
        <v>18786.939999999999</v>
      </c>
      <c r="I36" s="11">
        <f t="shared" si="1"/>
        <v>9909.0600000000013</v>
      </c>
      <c r="J36" s="11">
        <v>0</v>
      </c>
      <c r="K36" s="11">
        <f t="shared" si="2"/>
        <v>9909.0600000000013</v>
      </c>
      <c r="M36" s="17"/>
      <c r="Q36" s="18"/>
    </row>
    <row r="37" spans="1:17" x14ac:dyDescent="0.25">
      <c r="A37" s="9">
        <v>76</v>
      </c>
      <c r="B37">
        <v>70050</v>
      </c>
      <c r="C37" s="8" t="s">
        <v>84</v>
      </c>
      <c r="D37" s="2" t="s">
        <v>31</v>
      </c>
      <c r="F37" s="11">
        <v>33500</v>
      </c>
      <c r="G37" s="11">
        <v>39500</v>
      </c>
      <c r="H37" s="11">
        <v>35207.769999999997</v>
      </c>
      <c r="I37" s="11">
        <f t="shared" si="1"/>
        <v>4292.2300000000032</v>
      </c>
      <c r="J37" s="11">
        <v>109.22</v>
      </c>
      <c r="K37" s="11">
        <f t="shared" si="2"/>
        <v>4183.0100000000029</v>
      </c>
      <c r="M37" s="17"/>
      <c r="Q37" s="18"/>
    </row>
    <row r="38" spans="1:17" x14ac:dyDescent="0.25">
      <c r="A38" s="9">
        <v>76</v>
      </c>
      <c r="B38">
        <v>70050</v>
      </c>
      <c r="C38" s="8" t="s">
        <v>84</v>
      </c>
      <c r="D38" s="2" t="s">
        <v>32</v>
      </c>
      <c r="F38" s="11">
        <v>177700</v>
      </c>
      <c r="G38" s="11">
        <v>175502</v>
      </c>
      <c r="H38" s="11">
        <v>104249.38</v>
      </c>
      <c r="I38" s="11">
        <f t="shared" si="1"/>
        <v>71252.62</v>
      </c>
      <c r="J38" s="11">
        <v>0</v>
      </c>
      <c r="K38" s="11">
        <f t="shared" si="2"/>
        <v>71252.62</v>
      </c>
      <c r="M38" s="17"/>
      <c r="Q38" s="18"/>
    </row>
    <row r="39" spans="1:17" x14ac:dyDescent="0.25">
      <c r="A39" s="9">
        <v>76</v>
      </c>
      <c r="B39">
        <v>70050</v>
      </c>
      <c r="C39" s="8" t="s">
        <v>84</v>
      </c>
      <c r="D39" s="2" t="s">
        <v>86</v>
      </c>
      <c r="F39" s="11">
        <v>13179</v>
      </c>
      <c r="G39" s="11">
        <v>16314</v>
      </c>
      <c r="H39" s="11">
        <v>9193.91</v>
      </c>
      <c r="I39" s="11">
        <f t="shared" si="1"/>
        <v>7120.09</v>
      </c>
      <c r="J39" s="11">
        <v>0</v>
      </c>
      <c r="K39" s="11">
        <f t="shared" si="2"/>
        <v>7120.09</v>
      </c>
      <c r="M39" s="17"/>
      <c r="Q39" s="18"/>
    </row>
    <row r="40" spans="1:17" x14ac:dyDescent="0.25">
      <c r="A40" s="9">
        <v>76</v>
      </c>
      <c r="B40">
        <v>70050</v>
      </c>
      <c r="C40" s="8" t="s">
        <v>84</v>
      </c>
      <c r="D40" s="2" t="s">
        <v>87</v>
      </c>
      <c r="F40" s="11">
        <v>234624</v>
      </c>
      <c r="G40" s="11">
        <v>261144</v>
      </c>
      <c r="H40" s="11">
        <v>141921.34</v>
      </c>
      <c r="I40" s="11">
        <f t="shared" si="1"/>
        <v>119222.66</v>
      </c>
      <c r="J40" s="11">
        <v>201.02</v>
      </c>
      <c r="K40" s="11">
        <f t="shared" si="2"/>
        <v>119021.64</v>
      </c>
      <c r="M40" s="17"/>
      <c r="Q40" s="18"/>
    </row>
    <row r="41" spans="1:17" x14ac:dyDescent="0.25">
      <c r="A41" s="9">
        <v>76</v>
      </c>
      <c r="B41">
        <v>70050</v>
      </c>
      <c r="C41" s="8" t="s">
        <v>84</v>
      </c>
      <c r="D41" s="2" t="s">
        <v>120</v>
      </c>
      <c r="F41" s="11">
        <v>0</v>
      </c>
      <c r="G41" s="11">
        <v>0</v>
      </c>
      <c r="H41" s="11">
        <v>0</v>
      </c>
      <c r="I41" s="11">
        <f t="shared" si="1"/>
        <v>0</v>
      </c>
      <c r="J41" s="11">
        <v>10500</v>
      </c>
      <c r="K41" s="11">
        <f t="shared" si="2"/>
        <v>-10500</v>
      </c>
      <c r="M41" s="17"/>
      <c r="Q41" s="18"/>
    </row>
    <row r="42" spans="1:17" x14ac:dyDescent="0.25">
      <c r="A42" s="9">
        <v>76</v>
      </c>
      <c r="B42">
        <v>70050</v>
      </c>
      <c r="C42" s="8" t="s">
        <v>84</v>
      </c>
      <c r="D42" s="2" t="s">
        <v>119</v>
      </c>
      <c r="F42" s="11">
        <v>124730</v>
      </c>
      <c r="G42" s="11">
        <v>124968</v>
      </c>
      <c r="H42" s="11">
        <v>61376.51</v>
      </c>
      <c r="I42" s="11">
        <f t="shared" si="1"/>
        <v>63591.49</v>
      </c>
      <c r="J42" s="11">
        <v>530.29999999999995</v>
      </c>
      <c r="K42" s="11">
        <f t="shared" si="2"/>
        <v>63061.189999999995</v>
      </c>
      <c r="M42" s="17"/>
      <c r="Q42" s="18"/>
    </row>
    <row r="43" spans="1:17" x14ac:dyDescent="0.25">
      <c r="A43" s="9">
        <v>76</v>
      </c>
      <c r="B43">
        <v>70050</v>
      </c>
      <c r="C43" s="8" t="s">
        <v>84</v>
      </c>
      <c r="D43" s="2" t="s">
        <v>121</v>
      </c>
      <c r="F43" s="11">
        <v>260278</v>
      </c>
      <c r="G43" s="11">
        <v>101218.25</v>
      </c>
      <c r="H43" s="11">
        <v>0</v>
      </c>
      <c r="I43" s="11">
        <f t="shared" si="1"/>
        <v>101218.25</v>
      </c>
      <c r="J43" s="11">
        <v>0</v>
      </c>
      <c r="K43" s="11">
        <f t="shared" si="2"/>
        <v>101218.25</v>
      </c>
      <c r="M43" s="17"/>
    </row>
    <row r="44" spans="1:17" x14ac:dyDescent="0.25">
      <c r="A44" s="9">
        <v>76</v>
      </c>
      <c r="B44">
        <v>70050</v>
      </c>
      <c r="C44" s="8" t="s">
        <v>84</v>
      </c>
      <c r="D44" s="2" t="s">
        <v>117</v>
      </c>
      <c r="F44" s="11">
        <v>4986</v>
      </c>
      <c r="G44" s="11">
        <v>8939</v>
      </c>
      <c r="H44" s="11">
        <v>0</v>
      </c>
      <c r="I44" s="11">
        <f t="shared" si="1"/>
        <v>8939</v>
      </c>
      <c r="J44" s="11">
        <v>0</v>
      </c>
      <c r="K44" s="11">
        <f t="shared" si="2"/>
        <v>8939</v>
      </c>
      <c r="M44" s="17"/>
    </row>
    <row r="45" spans="1:17" x14ac:dyDescent="0.25">
      <c r="A45" s="9">
        <v>76</v>
      </c>
      <c r="B45">
        <v>70050</v>
      </c>
      <c r="C45" s="8" t="s">
        <v>84</v>
      </c>
      <c r="D45" s="2" t="s">
        <v>118</v>
      </c>
      <c r="F45" s="11">
        <v>104239</v>
      </c>
      <c r="G45" s="11">
        <v>18129</v>
      </c>
      <c r="H45" s="11">
        <v>0</v>
      </c>
      <c r="I45" s="11">
        <f t="shared" si="1"/>
        <v>18129</v>
      </c>
      <c r="J45" s="11">
        <v>0</v>
      </c>
      <c r="K45" s="11">
        <f t="shared" si="2"/>
        <v>18129</v>
      </c>
      <c r="M45" s="17"/>
    </row>
    <row r="46" spans="1:17" x14ac:dyDescent="0.25">
      <c r="A46" s="15" t="s">
        <v>88</v>
      </c>
      <c r="B46" s="2"/>
      <c r="C46" s="2"/>
      <c r="D46" s="10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17"/>
    </row>
    <row r="47" spans="1:17" x14ac:dyDescent="0.25">
      <c r="A47" s="12" t="s">
        <v>89</v>
      </c>
      <c r="B47" s="2"/>
      <c r="C47" s="2"/>
      <c r="D47" s="10"/>
      <c r="F47" s="11">
        <f t="shared" ref="F47:K47" si="3">SUM(F25:F45)</f>
        <v>8498720</v>
      </c>
      <c r="G47" s="11">
        <f t="shared" si="3"/>
        <v>8729325.25</v>
      </c>
      <c r="H47" s="11">
        <f t="shared" si="3"/>
        <v>8774728.3699999992</v>
      </c>
      <c r="I47" s="11">
        <f t="shared" si="3"/>
        <v>-45403.119999999908</v>
      </c>
      <c r="J47" s="11">
        <f t="shared" si="3"/>
        <v>26650.2</v>
      </c>
      <c r="K47" s="11">
        <f t="shared" si="3"/>
        <v>-72053.319999999891</v>
      </c>
      <c r="M47" s="17"/>
    </row>
    <row r="48" spans="1:17" x14ac:dyDescent="0.25">
      <c r="G48" s="19"/>
      <c r="H48" s="19"/>
      <c r="I48" s="19"/>
      <c r="J48" s="19"/>
      <c r="K48" s="19"/>
      <c r="M48" s="17"/>
    </row>
    <row r="49" spans="1:13" x14ac:dyDescent="0.25">
      <c r="A49" s="2"/>
      <c r="B49" s="2"/>
      <c r="C49" s="2"/>
      <c r="D49" s="10"/>
      <c r="E49" s="10"/>
      <c r="G49" s="11"/>
      <c r="H49" s="11"/>
      <c r="I49" s="11"/>
      <c r="J49" s="11"/>
      <c r="K49" s="11"/>
      <c r="M49" s="17"/>
    </row>
    <row r="54" spans="1:13" x14ac:dyDescent="0.25">
      <c r="A54" s="20" t="s">
        <v>110</v>
      </c>
      <c r="B54" s="20"/>
      <c r="C54" s="20"/>
      <c r="D54" s="20"/>
      <c r="E54" s="20"/>
    </row>
    <row r="57" spans="1:13" ht="13.8" thickBot="1" x14ac:dyDescent="0.3">
      <c r="A57" s="39" t="s">
        <v>106</v>
      </c>
      <c r="B57" s="40"/>
      <c r="C57" s="41"/>
      <c r="D57" s="21"/>
      <c r="E57" s="21"/>
      <c r="F57" s="21"/>
      <c r="G57" s="21"/>
      <c r="H57" s="21"/>
      <c r="I57" s="21"/>
      <c r="J57" s="21"/>
    </row>
    <row r="58" spans="1:13" ht="14.4" thickTop="1" thickBot="1" x14ac:dyDescent="0.3">
      <c r="A58" s="22"/>
      <c r="B58" s="23"/>
      <c r="C58" s="23"/>
      <c r="D58" s="23"/>
      <c r="E58" s="54"/>
      <c r="F58" s="55"/>
      <c r="G58" s="26"/>
      <c r="H58" s="27"/>
      <c r="I58" s="56"/>
      <c r="J58" s="29"/>
      <c r="K58" s="29"/>
      <c r="L58" s="28" t="s">
        <v>35</v>
      </c>
    </row>
    <row r="59" spans="1:13" ht="13.8" thickBot="1" x14ac:dyDescent="0.3">
      <c r="A59" s="30"/>
      <c r="B59" s="75" t="s">
        <v>139</v>
      </c>
      <c r="C59" s="75" t="s">
        <v>139</v>
      </c>
      <c r="D59" s="77" t="s">
        <v>139</v>
      </c>
      <c r="E59" s="75" t="s">
        <v>139</v>
      </c>
      <c r="F59" s="108" t="s">
        <v>79</v>
      </c>
      <c r="G59" s="109"/>
      <c r="H59" s="110"/>
      <c r="I59" s="76" t="s">
        <v>34</v>
      </c>
      <c r="J59" s="32" t="s">
        <v>37</v>
      </c>
      <c r="K59" s="72" t="s">
        <v>69</v>
      </c>
      <c r="L59" s="33" t="s">
        <v>36</v>
      </c>
    </row>
    <row r="60" spans="1:13" x14ac:dyDescent="0.25">
      <c r="A60" s="70" t="s">
        <v>71</v>
      </c>
      <c r="B60" s="34" t="s">
        <v>38</v>
      </c>
      <c r="C60" s="34" t="s">
        <v>78</v>
      </c>
      <c r="E60" s="34" t="s">
        <v>39</v>
      </c>
      <c r="F60" s="78" t="s">
        <v>107</v>
      </c>
      <c r="G60" s="34" t="s">
        <v>67</v>
      </c>
      <c r="H60" s="42"/>
      <c r="I60" s="97" t="s">
        <v>139</v>
      </c>
      <c r="J60" s="32" t="s">
        <v>40</v>
      </c>
      <c r="K60" s="73" t="s">
        <v>70</v>
      </c>
      <c r="L60" s="32" t="s">
        <v>39</v>
      </c>
    </row>
    <row r="61" spans="1:13" ht="13.8" thickBot="1" x14ac:dyDescent="0.3">
      <c r="A61" s="35" t="s">
        <v>72</v>
      </c>
      <c r="B61" s="36" t="s">
        <v>73</v>
      </c>
      <c r="C61" s="36" t="s">
        <v>75</v>
      </c>
      <c r="D61" s="62" t="s">
        <v>81</v>
      </c>
      <c r="E61" s="36" t="s">
        <v>41</v>
      </c>
      <c r="F61" s="79" t="s">
        <v>82</v>
      </c>
      <c r="G61" s="58" t="s">
        <v>42</v>
      </c>
      <c r="H61" s="38" t="s">
        <v>68</v>
      </c>
      <c r="I61" s="57" t="s">
        <v>41</v>
      </c>
      <c r="J61" s="37" t="s">
        <v>43</v>
      </c>
      <c r="K61" s="37" t="s">
        <v>68</v>
      </c>
      <c r="L61" s="37" t="s">
        <v>44</v>
      </c>
    </row>
    <row r="62" spans="1:13" x14ac:dyDescent="0.25">
      <c r="A62" s="22"/>
      <c r="B62" s="23"/>
      <c r="C62" s="23"/>
      <c r="E62" s="31"/>
      <c r="F62" s="22"/>
      <c r="G62" s="18"/>
      <c r="H62" s="31"/>
      <c r="I62" s="59"/>
      <c r="J62" s="29"/>
      <c r="L62" s="29"/>
    </row>
    <row r="63" spans="1:13" x14ac:dyDescent="0.25">
      <c r="A63" s="2" t="s">
        <v>45</v>
      </c>
      <c r="B63" s="43">
        <f>G26</f>
        <v>1055815</v>
      </c>
      <c r="C63" s="44">
        <f>H26</f>
        <v>680131.52</v>
      </c>
      <c r="D63" s="19">
        <f>J26</f>
        <v>0</v>
      </c>
      <c r="E63" s="44">
        <f>+B63-C63-D63</f>
        <v>375683.48</v>
      </c>
      <c r="F63" s="60">
        <v>68336.789999999994</v>
      </c>
      <c r="G63" s="46"/>
      <c r="H63" s="49"/>
      <c r="I63" s="61">
        <f>E63-F63</f>
        <v>307346.69</v>
      </c>
      <c r="J63" s="45"/>
      <c r="L63" s="45"/>
    </row>
    <row r="64" spans="1:13" x14ac:dyDescent="0.25">
      <c r="A64" s="2" t="s">
        <v>123</v>
      </c>
      <c r="B64" s="43">
        <f t="shared" ref="B64:B82" si="4">G27</f>
        <v>12000</v>
      </c>
      <c r="C64" s="44">
        <f t="shared" ref="C64:C82" si="5">H27</f>
        <v>6424.92</v>
      </c>
      <c r="D64" s="19">
        <f t="shared" ref="D64:D82" si="6">J27</f>
        <v>0</v>
      </c>
      <c r="E64" s="44">
        <f t="shared" ref="E64:E85" si="7">+B64-C64-D64</f>
        <v>5575.08</v>
      </c>
      <c r="F64" s="60">
        <v>650.89</v>
      </c>
      <c r="G64" s="46"/>
      <c r="H64" s="49"/>
      <c r="I64" s="61">
        <f t="shared" ref="I64:I69" si="8">B64-C64-F64</f>
        <v>4924.1899999999996</v>
      </c>
      <c r="J64" s="45"/>
      <c r="L64" s="45"/>
    </row>
    <row r="65" spans="1:12" x14ac:dyDescent="0.25">
      <c r="A65" s="2" t="s">
        <v>124</v>
      </c>
      <c r="B65" s="43">
        <f t="shared" si="4"/>
        <v>200</v>
      </c>
      <c r="C65" s="44">
        <f t="shared" si="5"/>
        <v>0</v>
      </c>
      <c r="D65" s="19">
        <f t="shared" si="6"/>
        <v>0</v>
      </c>
      <c r="E65" s="44">
        <f t="shared" si="7"/>
        <v>200</v>
      </c>
      <c r="F65" s="60">
        <v>0</v>
      </c>
      <c r="G65" s="46"/>
      <c r="H65" s="49"/>
      <c r="I65" s="61">
        <f t="shared" si="8"/>
        <v>200</v>
      </c>
      <c r="J65" s="45"/>
      <c r="L65" s="45"/>
    </row>
    <row r="66" spans="1:12" x14ac:dyDescent="0.25">
      <c r="A66" s="2" t="s">
        <v>47</v>
      </c>
      <c r="B66" s="43">
        <f t="shared" si="4"/>
        <v>363597</v>
      </c>
      <c r="C66" s="44">
        <f t="shared" si="5"/>
        <v>203382.49</v>
      </c>
      <c r="D66" s="19">
        <f t="shared" si="6"/>
        <v>0</v>
      </c>
      <c r="E66" s="44">
        <f t="shared" si="7"/>
        <v>160214.51</v>
      </c>
      <c r="F66" s="60">
        <v>19542.240000000002</v>
      </c>
      <c r="G66" s="46"/>
      <c r="H66" s="49"/>
      <c r="I66" s="61">
        <f t="shared" si="8"/>
        <v>140672.27000000002</v>
      </c>
      <c r="J66" s="45"/>
      <c r="L66" s="45"/>
    </row>
    <row r="67" spans="1:12" x14ac:dyDescent="0.25">
      <c r="A67" s="2" t="s">
        <v>125</v>
      </c>
      <c r="B67" s="43">
        <f t="shared" si="4"/>
        <v>0</v>
      </c>
      <c r="C67" s="44">
        <f t="shared" si="5"/>
        <v>188.58</v>
      </c>
      <c r="D67" s="19">
        <f t="shared" si="6"/>
        <v>0</v>
      </c>
      <c r="E67" s="44">
        <f t="shared" si="7"/>
        <v>-188.58</v>
      </c>
      <c r="F67" s="60">
        <v>0</v>
      </c>
      <c r="G67" s="46"/>
      <c r="H67" s="49"/>
      <c r="I67" s="61">
        <f t="shared" si="8"/>
        <v>-188.58</v>
      </c>
      <c r="J67" s="45"/>
      <c r="L67" s="45"/>
    </row>
    <row r="68" spans="1:12" x14ac:dyDescent="0.25">
      <c r="A68" s="2" t="s">
        <v>49</v>
      </c>
      <c r="B68" s="43">
        <f t="shared" si="4"/>
        <v>5900</v>
      </c>
      <c r="C68" s="44">
        <f t="shared" si="5"/>
        <v>214.21</v>
      </c>
      <c r="D68" s="19">
        <f t="shared" si="6"/>
        <v>0</v>
      </c>
      <c r="E68" s="44">
        <f t="shared" si="7"/>
        <v>5685.79</v>
      </c>
      <c r="F68" s="60">
        <v>0</v>
      </c>
      <c r="G68" s="46"/>
      <c r="H68" s="49"/>
      <c r="I68" s="61">
        <f t="shared" si="8"/>
        <v>5685.79</v>
      </c>
      <c r="J68" s="45"/>
      <c r="L68" s="45"/>
    </row>
    <row r="69" spans="1:12" x14ac:dyDescent="0.25">
      <c r="A69" s="2" t="s">
        <v>50</v>
      </c>
      <c r="B69" s="43">
        <f t="shared" si="4"/>
        <v>7484693</v>
      </c>
      <c r="C69" s="44">
        <f t="shared" si="5"/>
        <v>7204192.4199999999</v>
      </c>
      <c r="D69" s="19">
        <f t="shared" si="6"/>
        <v>1278.3900000000001</v>
      </c>
      <c r="E69" s="44">
        <f t="shared" si="7"/>
        <v>279222.19000000006</v>
      </c>
      <c r="F69" s="60">
        <v>45123.98</v>
      </c>
      <c r="G69" s="46"/>
      <c r="H69" s="49"/>
      <c r="I69" s="61">
        <f t="shared" si="8"/>
        <v>235376.60000000006</v>
      </c>
      <c r="J69" s="45"/>
      <c r="L69" s="45"/>
    </row>
    <row r="70" spans="1:12" x14ac:dyDescent="0.25">
      <c r="A70" s="2" t="s">
        <v>52</v>
      </c>
      <c r="B70" s="43">
        <f t="shared" si="4"/>
        <v>244601</v>
      </c>
      <c r="C70" s="44">
        <f t="shared" si="5"/>
        <v>155460.51999999999</v>
      </c>
      <c r="D70" s="19">
        <f t="shared" si="6"/>
        <v>14020.51</v>
      </c>
      <c r="E70" s="44">
        <f t="shared" si="7"/>
        <v>75119.970000000016</v>
      </c>
      <c r="F70" s="60">
        <v>13897.23</v>
      </c>
      <c r="G70" s="46"/>
      <c r="H70" s="49"/>
      <c r="I70" s="61">
        <f t="shared" ref="I70:I82" si="9">B70-C70-F70</f>
        <v>75243.250000000015</v>
      </c>
      <c r="J70" s="45"/>
      <c r="L70" s="45"/>
    </row>
    <row r="71" spans="1:12" x14ac:dyDescent="0.25">
      <c r="A71" s="2" t="s">
        <v>53</v>
      </c>
      <c r="B71" s="43">
        <f t="shared" si="4"/>
        <v>307404</v>
      </c>
      <c r="C71" s="44">
        <f t="shared" si="5"/>
        <v>163735.95000000001</v>
      </c>
      <c r="D71" s="19">
        <f t="shared" si="6"/>
        <v>10.76</v>
      </c>
      <c r="E71" s="44">
        <f t="shared" si="7"/>
        <v>143657.28999999998</v>
      </c>
      <c r="F71" s="60">
        <v>16523.12</v>
      </c>
      <c r="G71" s="46"/>
      <c r="H71" s="49"/>
      <c r="I71" s="61">
        <f t="shared" si="9"/>
        <v>127144.93</v>
      </c>
      <c r="J71" s="45"/>
      <c r="L71" s="45"/>
    </row>
    <row r="72" spans="1:12" x14ac:dyDescent="0.25">
      <c r="A72" s="2" t="s">
        <v>54</v>
      </c>
      <c r="B72" s="43">
        <f t="shared" si="4"/>
        <v>17100</v>
      </c>
      <c r="C72" s="44">
        <f t="shared" si="5"/>
        <v>14618.83</v>
      </c>
      <c r="D72" s="19">
        <f t="shared" si="6"/>
        <v>0</v>
      </c>
      <c r="E72" s="44">
        <f t="shared" si="7"/>
        <v>2481.17</v>
      </c>
      <c r="F72" s="60">
        <v>1235.96</v>
      </c>
      <c r="G72" s="46"/>
      <c r="H72" s="49"/>
      <c r="I72" s="61">
        <f t="shared" si="9"/>
        <v>1245.21</v>
      </c>
      <c r="J72" s="45"/>
      <c r="L72" s="45"/>
    </row>
    <row r="73" spans="1:12" x14ac:dyDescent="0.25">
      <c r="A73" s="2" t="s">
        <v>55</v>
      </c>
      <c r="B73" s="43">
        <f t="shared" si="4"/>
        <v>28696</v>
      </c>
      <c r="C73" s="44">
        <f t="shared" si="5"/>
        <v>18786.939999999999</v>
      </c>
      <c r="D73" s="19">
        <f t="shared" si="6"/>
        <v>0</v>
      </c>
      <c r="E73" s="44">
        <f t="shared" si="7"/>
        <v>9909.0600000000013</v>
      </c>
      <c r="F73" s="60">
        <v>1845.54</v>
      </c>
      <c r="G73" s="46"/>
      <c r="H73" s="49"/>
      <c r="I73" s="61">
        <f t="shared" si="9"/>
        <v>8063.5200000000013</v>
      </c>
      <c r="J73" s="45"/>
      <c r="L73" s="45"/>
    </row>
    <row r="74" spans="1:12" x14ac:dyDescent="0.25">
      <c r="A74" s="2" t="s">
        <v>56</v>
      </c>
      <c r="B74" s="43">
        <f t="shared" si="4"/>
        <v>39500</v>
      </c>
      <c r="C74" s="44">
        <f t="shared" si="5"/>
        <v>35207.769999999997</v>
      </c>
      <c r="D74" s="19">
        <f t="shared" si="6"/>
        <v>109.22</v>
      </c>
      <c r="E74" s="44">
        <f t="shared" si="7"/>
        <v>4183.0100000000029</v>
      </c>
      <c r="F74" s="60">
        <v>3421.85</v>
      </c>
      <c r="G74" s="46"/>
      <c r="H74" s="49"/>
      <c r="I74" s="61">
        <f t="shared" si="9"/>
        <v>870.38000000000329</v>
      </c>
      <c r="J74" s="45"/>
      <c r="L74" s="45"/>
    </row>
    <row r="75" spans="1:12" x14ac:dyDescent="0.25">
      <c r="A75" s="2" t="s">
        <v>57</v>
      </c>
      <c r="B75" s="43">
        <f t="shared" si="4"/>
        <v>175502</v>
      </c>
      <c r="C75" s="44">
        <f t="shared" si="5"/>
        <v>104249.38</v>
      </c>
      <c r="D75" s="19">
        <f t="shared" si="6"/>
        <v>0</v>
      </c>
      <c r="E75" s="44">
        <f t="shared" si="7"/>
        <v>71252.62</v>
      </c>
      <c r="F75" s="60">
        <v>9561.4599999999991</v>
      </c>
      <c r="G75" s="46"/>
      <c r="H75" s="49"/>
      <c r="I75" s="61">
        <f t="shared" si="9"/>
        <v>61691.159999999996</v>
      </c>
      <c r="J75" s="45"/>
      <c r="L75" s="45"/>
    </row>
    <row r="76" spans="1:12" x14ac:dyDescent="0.25">
      <c r="A76" s="2" t="s">
        <v>91</v>
      </c>
      <c r="B76" s="43">
        <f t="shared" si="4"/>
        <v>16314</v>
      </c>
      <c r="C76" s="44">
        <f t="shared" si="5"/>
        <v>9193.91</v>
      </c>
      <c r="D76" s="19">
        <f t="shared" si="6"/>
        <v>0</v>
      </c>
      <c r="E76" s="44">
        <f t="shared" si="7"/>
        <v>7120.09</v>
      </c>
      <c r="F76" s="60">
        <v>919.3</v>
      </c>
      <c r="G76" s="46"/>
      <c r="H76" s="49"/>
      <c r="I76" s="61">
        <f t="shared" si="9"/>
        <v>6200.79</v>
      </c>
      <c r="J76" s="45"/>
      <c r="L76" s="45"/>
    </row>
    <row r="77" spans="1:12" x14ac:dyDescent="0.25">
      <c r="A77" s="2" t="s">
        <v>92</v>
      </c>
      <c r="B77" s="43">
        <f t="shared" si="4"/>
        <v>261144</v>
      </c>
      <c r="C77" s="44">
        <f t="shared" si="5"/>
        <v>141921.34</v>
      </c>
      <c r="D77" s="19">
        <f t="shared" si="6"/>
        <v>201.02</v>
      </c>
      <c r="E77" s="49">
        <f t="shared" si="7"/>
        <v>119021.64</v>
      </c>
      <c r="F77" s="85">
        <v>0</v>
      </c>
      <c r="I77" s="86">
        <f t="shared" si="9"/>
        <v>119222.66</v>
      </c>
      <c r="J77" s="45"/>
      <c r="L77" s="45"/>
    </row>
    <row r="78" spans="1:12" x14ac:dyDescent="0.25">
      <c r="A78" s="2" t="s">
        <v>64</v>
      </c>
      <c r="B78" s="43">
        <f t="shared" si="4"/>
        <v>0</v>
      </c>
      <c r="C78" s="44">
        <f t="shared" si="5"/>
        <v>0</v>
      </c>
      <c r="D78" s="19">
        <f t="shared" si="6"/>
        <v>10500</v>
      </c>
      <c r="E78" s="49">
        <f t="shared" si="7"/>
        <v>-10500</v>
      </c>
      <c r="F78" s="85">
        <v>10500</v>
      </c>
      <c r="G78" s="46" t="s">
        <v>93</v>
      </c>
      <c r="I78" s="86">
        <f t="shared" si="9"/>
        <v>-10500</v>
      </c>
      <c r="J78" s="45"/>
      <c r="L78" s="45"/>
    </row>
    <row r="79" spans="1:12" x14ac:dyDescent="0.25">
      <c r="A79" s="2" t="s">
        <v>126</v>
      </c>
      <c r="B79" s="43">
        <f t="shared" si="4"/>
        <v>124968</v>
      </c>
      <c r="C79" s="44">
        <f t="shared" si="5"/>
        <v>61376.51</v>
      </c>
      <c r="D79" s="19">
        <f t="shared" si="6"/>
        <v>530.29999999999995</v>
      </c>
      <c r="E79" s="49">
        <f t="shared" si="7"/>
        <v>63061.189999999995</v>
      </c>
      <c r="F79" s="85">
        <v>6125.63</v>
      </c>
      <c r="I79" s="86">
        <f t="shared" si="9"/>
        <v>57465.86</v>
      </c>
      <c r="J79" s="45"/>
      <c r="L79" s="45"/>
    </row>
    <row r="80" spans="1:12" x14ac:dyDescent="0.25">
      <c r="A80" s="2" t="s">
        <v>58</v>
      </c>
      <c r="B80" s="43">
        <f t="shared" si="4"/>
        <v>101218.25</v>
      </c>
      <c r="C80" s="44">
        <f t="shared" si="5"/>
        <v>0</v>
      </c>
      <c r="D80" s="19">
        <f t="shared" si="6"/>
        <v>0</v>
      </c>
      <c r="E80" s="49">
        <f t="shared" si="7"/>
        <v>101218.25</v>
      </c>
      <c r="F80" s="85">
        <v>0</v>
      </c>
      <c r="I80" s="86">
        <f t="shared" si="9"/>
        <v>101218.25</v>
      </c>
      <c r="J80" s="45"/>
      <c r="L80" s="45"/>
    </row>
    <row r="81" spans="1:12" x14ac:dyDescent="0.25">
      <c r="A81" s="2" t="s">
        <v>127</v>
      </c>
      <c r="B81" s="43">
        <f t="shared" si="4"/>
        <v>8939</v>
      </c>
      <c r="C81" s="44">
        <f t="shared" si="5"/>
        <v>0</v>
      </c>
      <c r="D81" s="19">
        <f t="shared" si="6"/>
        <v>0</v>
      </c>
      <c r="E81" s="49">
        <f t="shared" si="7"/>
        <v>8939</v>
      </c>
      <c r="F81" s="85">
        <v>0</v>
      </c>
      <c r="I81" s="86">
        <f t="shared" si="9"/>
        <v>8939</v>
      </c>
      <c r="J81" s="45"/>
      <c r="L81" s="45"/>
    </row>
    <row r="82" spans="1:12" x14ac:dyDescent="0.25">
      <c r="A82" s="2" t="s">
        <v>128</v>
      </c>
      <c r="B82" s="43">
        <f t="shared" si="4"/>
        <v>18129</v>
      </c>
      <c r="C82" s="44">
        <f t="shared" si="5"/>
        <v>0</v>
      </c>
      <c r="D82" s="19">
        <f t="shared" si="6"/>
        <v>0</v>
      </c>
      <c r="E82" s="49">
        <f t="shared" si="7"/>
        <v>18129</v>
      </c>
      <c r="F82" s="85">
        <v>0</v>
      </c>
      <c r="I82" s="86">
        <f t="shared" si="9"/>
        <v>18129</v>
      </c>
      <c r="J82" s="45"/>
      <c r="L82" s="45"/>
    </row>
    <row r="83" spans="1:12" x14ac:dyDescent="0.25">
      <c r="A83" s="80" t="s">
        <v>94</v>
      </c>
      <c r="B83" s="46">
        <f>G25</f>
        <v>-1536395</v>
      </c>
      <c r="C83" s="44">
        <f>H25</f>
        <v>-24356.92</v>
      </c>
      <c r="D83" s="19">
        <f>J43</f>
        <v>0</v>
      </c>
      <c r="E83" s="49">
        <f t="shared" si="7"/>
        <v>-1512038.08</v>
      </c>
      <c r="F83" s="46">
        <v>-1189502.5</v>
      </c>
      <c r="G83" s="46" t="s">
        <v>95</v>
      </c>
      <c r="H83" s="49"/>
      <c r="I83" s="61">
        <f>B83-C83-F83</f>
        <v>-322535.58000000007</v>
      </c>
      <c r="J83" s="45"/>
      <c r="L83" s="45"/>
    </row>
    <row r="84" spans="1:12" x14ac:dyDescent="0.25">
      <c r="A84" s="80" t="s">
        <v>96</v>
      </c>
      <c r="B84" s="46">
        <f>G18</f>
        <v>-8766135</v>
      </c>
      <c r="C84" s="44">
        <f>H18</f>
        <v>-7104439.75</v>
      </c>
      <c r="D84" s="19">
        <f>J46</f>
        <v>0</v>
      </c>
      <c r="E84" s="49">
        <f t="shared" si="7"/>
        <v>-1661695.25</v>
      </c>
      <c r="F84" s="46">
        <v>-101562.98</v>
      </c>
      <c r="G84" s="46" t="s">
        <v>97</v>
      </c>
      <c r="H84" s="49"/>
      <c r="I84" s="61">
        <f>B84-C84-F84</f>
        <v>-1560132.27</v>
      </c>
      <c r="J84" s="45"/>
      <c r="L84" s="45"/>
    </row>
    <row r="85" spans="1:12" ht="13.8" thickBot="1" x14ac:dyDescent="0.3">
      <c r="A85" s="47" t="s">
        <v>129</v>
      </c>
      <c r="B85" s="44">
        <f>G19</f>
        <v>0</v>
      </c>
      <c r="C85" s="44">
        <f>H19</f>
        <v>-272.52</v>
      </c>
      <c r="D85" s="44">
        <v>0</v>
      </c>
      <c r="E85" s="84">
        <f t="shared" si="7"/>
        <v>272.52</v>
      </c>
      <c r="F85" s="87">
        <v>0</v>
      </c>
      <c r="G85" s="62"/>
      <c r="H85" s="48"/>
      <c r="I85" s="63">
        <f>B85-C85-F85</f>
        <v>272.52</v>
      </c>
      <c r="J85" s="45"/>
      <c r="L85" s="45">
        <f>+J85+I85</f>
        <v>272.52</v>
      </c>
    </row>
    <row r="86" spans="1:12" ht="13.8" thickBot="1" x14ac:dyDescent="0.3">
      <c r="A86" s="25" t="s">
        <v>59</v>
      </c>
      <c r="B86" s="50">
        <f>SUM(B63:B85)</f>
        <v>-36809.75</v>
      </c>
      <c r="C86" s="50">
        <f>SUM(C63:C85)</f>
        <v>1670016.0999999992</v>
      </c>
      <c r="D86" s="83">
        <f>SUM(D63:D85)</f>
        <v>26650.2</v>
      </c>
      <c r="E86" s="51">
        <f>SUM(E63:E85)</f>
        <v>-1733476.0499999998</v>
      </c>
      <c r="F86" s="64">
        <f>SUM(F63:F85)</f>
        <v>-1093381.49</v>
      </c>
      <c r="G86" s="65"/>
      <c r="H86" s="51"/>
      <c r="I86" s="52">
        <f>SUM(I63:I85)</f>
        <v>-613444.35999999987</v>
      </c>
      <c r="J86" s="52">
        <f>SUM(J63:J85)</f>
        <v>0</v>
      </c>
      <c r="K86" s="74"/>
      <c r="L86" s="52">
        <f>SUM(L63:L85)</f>
        <v>272.52</v>
      </c>
    </row>
    <row r="87" spans="1:12" x14ac:dyDescent="0.25">
      <c r="F87" s="1"/>
      <c r="H87" s="66"/>
      <c r="I87" s="66"/>
      <c r="J87" s="53"/>
    </row>
    <row r="88" spans="1:12" x14ac:dyDescent="0.25">
      <c r="B88" s="18"/>
      <c r="C88" s="18"/>
      <c r="D88" s="18"/>
    </row>
    <row r="89" spans="1:12" x14ac:dyDescent="0.25">
      <c r="B89" s="18"/>
      <c r="C89" s="18"/>
      <c r="D89" s="18"/>
    </row>
    <row r="90" spans="1:12" x14ac:dyDescent="0.25">
      <c r="B90" s="67"/>
      <c r="C90" s="46"/>
      <c r="D90" s="46"/>
    </row>
    <row r="91" spans="1:12" x14ac:dyDescent="0.25">
      <c r="B91" s="68"/>
      <c r="C91" s="46"/>
      <c r="D91" s="46"/>
    </row>
    <row r="92" spans="1:12" x14ac:dyDescent="0.25">
      <c r="B92" s="67"/>
      <c r="C92" s="46"/>
      <c r="D92" s="46"/>
    </row>
    <row r="95" spans="1:12" x14ac:dyDescent="0.25">
      <c r="A95" s="17"/>
    </row>
    <row r="96" spans="1:12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</sheetData>
  <mergeCells count="1">
    <mergeCell ref="F59:H59"/>
  </mergeCells>
  <phoneticPr fontId="0" type="noConversion"/>
  <pageMargins left="0.22" right="0.21" top="0.18" bottom="0.19" header="0.18" footer="0.18"/>
  <pageSetup scale="52" orientation="landscape" horizontalDpi="1200" verticalDpi="1200" r:id="rId1"/>
  <headerFooter alignWithMargins="0">
    <oddFooter>&amp;R&amp;F;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5"/>
  <sheetViews>
    <sheetView topLeftCell="A46" zoomScale="75" zoomScaleNormal="75" workbookViewId="0">
      <selection activeCell="A92" sqref="A92:IV92"/>
    </sheetView>
  </sheetViews>
  <sheetFormatPr defaultRowHeight="13.2" x14ac:dyDescent="0.25"/>
  <cols>
    <col min="1" max="1" width="10.44140625" customWidth="1"/>
    <col min="2" max="2" width="17.88671875" customWidth="1"/>
    <col min="3" max="4" width="19.44140625" customWidth="1"/>
    <col min="5" max="5" width="14.88671875" customWidth="1"/>
    <col min="6" max="6" width="18.88671875" customWidth="1"/>
    <col min="7" max="7" width="15" customWidth="1"/>
    <col min="8" max="8" width="26.44140625" customWidth="1"/>
    <col min="9" max="9" width="15.5546875" customWidth="1"/>
    <col min="10" max="10" width="17.5546875" customWidth="1"/>
    <col min="11" max="11" width="26.6640625" customWidth="1"/>
    <col min="12" max="12" width="17.6640625" customWidth="1"/>
    <col min="13" max="13" width="19.6640625" customWidth="1"/>
    <col min="14" max="14" width="10.6640625" bestFit="1" customWidth="1"/>
  </cols>
  <sheetData>
    <row r="1" spans="1:13" x14ac:dyDescent="0.25">
      <c r="F1" s="1" t="s">
        <v>0</v>
      </c>
      <c r="K1" t="s">
        <v>1</v>
      </c>
    </row>
    <row r="2" spans="1:13" x14ac:dyDescent="0.25">
      <c r="A2" s="2" t="s">
        <v>2</v>
      </c>
      <c r="B2" s="2"/>
      <c r="C2" s="2"/>
      <c r="D2" s="2"/>
      <c r="E2" s="2" t="s">
        <v>3</v>
      </c>
      <c r="F2" s="2"/>
      <c r="G2" s="2"/>
      <c r="H2" s="2"/>
      <c r="I2" s="2"/>
      <c r="J2" s="2"/>
      <c r="K2" s="96" t="s">
        <v>143</v>
      </c>
      <c r="L2" s="2"/>
      <c r="M2" s="2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 t="s">
        <v>4</v>
      </c>
      <c r="L3" s="2"/>
      <c r="M3" s="2"/>
    </row>
    <row r="4" spans="1:13" x14ac:dyDescent="0.25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x14ac:dyDescent="0.25">
      <c r="A5" s="2"/>
      <c r="B5" s="2" t="s">
        <v>6</v>
      </c>
      <c r="C5" s="3" t="s">
        <v>7</v>
      </c>
      <c r="D5" s="3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"/>
      <c r="B6" s="2" t="s">
        <v>8</v>
      </c>
      <c r="C6" s="2" t="s">
        <v>65</v>
      </c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96" t="s">
        <v>137</v>
      </c>
      <c r="C7" s="2" t="s">
        <v>103</v>
      </c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2" t="s">
        <v>9</v>
      </c>
      <c r="C8" s="2" t="s">
        <v>104</v>
      </c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5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2"/>
      <c r="B10" s="2" t="s">
        <v>105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x14ac:dyDescent="0.2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3.5" customHeight="1" x14ac:dyDescent="0.25">
      <c r="A12" s="2"/>
      <c r="B12" s="2" t="s">
        <v>33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2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2.75" customHeight="1" x14ac:dyDescent="0.25">
      <c r="A14" s="2"/>
      <c r="B14" s="2"/>
      <c r="D14" s="2" t="s">
        <v>12</v>
      </c>
      <c r="E14" s="2"/>
      <c r="F14" s="4" t="s">
        <v>13</v>
      </c>
      <c r="G14" s="4" t="s">
        <v>14</v>
      </c>
      <c r="H14" s="4"/>
      <c r="I14" s="4"/>
      <c r="J14" s="4"/>
      <c r="K14" s="4" t="s">
        <v>15</v>
      </c>
      <c r="L14" s="2"/>
      <c r="M14" s="2"/>
    </row>
    <row r="15" spans="1:13" ht="12.75" customHeight="1" x14ac:dyDescent="0.25">
      <c r="A15" s="3" t="s">
        <v>16</v>
      </c>
      <c r="B15" s="3" t="s">
        <v>17</v>
      </c>
      <c r="D15" s="3" t="s">
        <v>18</v>
      </c>
      <c r="E15" s="2"/>
      <c r="F15" s="5" t="s">
        <v>12</v>
      </c>
      <c r="G15" s="5" t="s">
        <v>12</v>
      </c>
      <c r="H15" s="6" t="s">
        <v>19</v>
      </c>
      <c r="I15" s="7" t="s">
        <v>20</v>
      </c>
      <c r="J15" s="5" t="s">
        <v>132</v>
      </c>
      <c r="K15" s="6" t="s">
        <v>22</v>
      </c>
      <c r="L15" s="2"/>
      <c r="M15" s="2"/>
    </row>
    <row r="16" spans="1:13" ht="12.75" customHeight="1" x14ac:dyDescent="0.25">
      <c r="A16" s="3"/>
      <c r="B16" s="3"/>
      <c r="D16" s="3"/>
      <c r="E16" s="2"/>
      <c r="F16" s="9"/>
      <c r="G16" s="9"/>
      <c r="H16" s="34"/>
      <c r="I16" s="82"/>
      <c r="J16" s="9"/>
      <c r="K16" s="34"/>
      <c r="L16" s="2"/>
      <c r="M16" s="2"/>
    </row>
    <row r="17" spans="1:13" ht="12.75" customHeight="1" x14ac:dyDescent="0.25">
      <c r="A17" s="13" t="s">
        <v>90</v>
      </c>
      <c r="B17" s="2"/>
      <c r="C17" s="2"/>
      <c r="D17" s="2"/>
      <c r="E17" s="2"/>
      <c r="F17" s="2"/>
      <c r="G17" s="2"/>
      <c r="I17" s="2"/>
      <c r="J17" s="2"/>
      <c r="L17" s="2"/>
      <c r="M17" s="2"/>
    </row>
    <row r="18" spans="1:13" ht="12.75" customHeight="1" x14ac:dyDescent="0.25">
      <c r="A18" s="9">
        <v>20</v>
      </c>
      <c r="B18">
        <v>70050</v>
      </c>
      <c r="C18" s="8" t="s">
        <v>84</v>
      </c>
      <c r="D18" s="10" t="s">
        <v>98</v>
      </c>
      <c r="F18" s="11">
        <v>-8498720</v>
      </c>
      <c r="G18" s="11">
        <v>-8766135</v>
      </c>
      <c r="H18" s="11">
        <f>-7104439.75-125987.52</f>
        <v>-7230427.2699999996</v>
      </c>
      <c r="I18" s="11">
        <f>G18-H18</f>
        <v>-1535707.7300000004</v>
      </c>
      <c r="J18" s="11">
        <v>0</v>
      </c>
      <c r="K18" s="11">
        <f>I18-J18</f>
        <v>-1535707.7300000004</v>
      </c>
      <c r="L18" s="2"/>
      <c r="M18" s="2"/>
    </row>
    <row r="19" spans="1:13" ht="12.75" customHeight="1" x14ac:dyDescent="0.25">
      <c r="A19" s="9">
        <v>20</v>
      </c>
      <c r="B19">
        <v>70050</v>
      </c>
      <c r="C19" s="8" t="s">
        <v>113</v>
      </c>
      <c r="D19" s="10" t="s">
        <v>114</v>
      </c>
      <c r="F19" s="11">
        <v>0</v>
      </c>
      <c r="G19" s="11">
        <v>0</v>
      </c>
      <c r="H19" s="11">
        <f>-272.52+65.32</f>
        <v>-207.2</v>
      </c>
      <c r="I19" s="11">
        <f>G19-H19</f>
        <v>207.2</v>
      </c>
      <c r="J19" s="11">
        <v>0</v>
      </c>
      <c r="K19" s="11">
        <f>I19-J19</f>
        <v>207.2</v>
      </c>
      <c r="L19" s="2"/>
      <c r="M19" s="2"/>
    </row>
    <row r="20" spans="1:13" ht="12.75" customHeight="1" x14ac:dyDescent="0.3">
      <c r="A20" s="12" t="s">
        <v>99</v>
      </c>
      <c r="B20" s="81"/>
      <c r="C20" s="2"/>
      <c r="D20" s="10"/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2"/>
      <c r="M20" s="2"/>
    </row>
    <row r="21" spans="1:13" ht="12.75" customHeight="1" x14ac:dyDescent="0.25">
      <c r="A21" s="12" t="s">
        <v>100</v>
      </c>
      <c r="B21" s="2"/>
      <c r="C21" s="2"/>
      <c r="D21" s="10"/>
      <c r="F21" s="11">
        <f t="shared" ref="F21:K21" si="0">SUM(F18:F19)</f>
        <v>-8498720</v>
      </c>
      <c r="G21" s="11">
        <f t="shared" si="0"/>
        <v>-8766135</v>
      </c>
      <c r="H21" s="11">
        <f t="shared" si="0"/>
        <v>-7230634.4699999997</v>
      </c>
      <c r="I21" s="11">
        <f t="shared" si="0"/>
        <v>-1535500.5300000005</v>
      </c>
      <c r="J21" s="11">
        <f t="shared" si="0"/>
        <v>0</v>
      </c>
      <c r="K21" s="11">
        <f t="shared" si="0"/>
        <v>-1535500.5300000005</v>
      </c>
      <c r="L21" s="2"/>
      <c r="M21" s="2"/>
    </row>
    <row r="22" spans="1:13" ht="12.75" customHeight="1" x14ac:dyDescent="0.25">
      <c r="A22" s="2"/>
      <c r="B22" s="2"/>
      <c r="C22" s="2"/>
      <c r="D22" s="2"/>
      <c r="E22" s="2"/>
      <c r="F22" s="2"/>
      <c r="G22" s="2"/>
      <c r="I22" s="2"/>
      <c r="J22" s="2"/>
      <c r="L22" s="2"/>
      <c r="M22" s="2"/>
    </row>
    <row r="23" spans="1:13" ht="12.75" customHeight="1" x14ac:dyDescent="0.25">
      <c r="A23" s="2"/>
      <c r="B23" s="2"/>
      <c r="C23" s="2"/>
      <c r="D23" s="2"/>
      <c r="E23" s="2"/>
      <c r="F23" s="2"/>
      <c r="G23" s="2"/>
      <c r="I23" s="2"/>
      <c r="J23" s="2"/>
      <c r="L23" s="2"/>
      <c r="M23" s="2"/>
    </row>
    <row r="24" spans="1:13" ht="12.75" customHeight="1" x14ac:dyDescent="0.25">
      <c r="A24" s="13" t="s">
        <v>90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2.75" customHeight="1" x14ac:dyDescent="0.25">
      <c r="A25" s="9">
        <v>76</v>
      </c>
      <c r="B25">
        <v>70050</v>
      </c>
      <c r="C25" s="8" t="s">
        <v>84</v>
      </c>
      <c r="D25" s="14" t="s">
        <v>85</v>
      </c>
      <c r="F25" s="11">
        <v>-1572311</v>
      </c>
      <c r="G25" s="11">
        <v>-1536395</v>
      </c>
      <c r="H25" s="11">
        <f>-24356.92+-1116502.5</f>
        <v>-1140859.42</v>
      </c>
      <c r="I25" s="11">
        <f>G25-H25</f>
        <v>-395535.58000000007</v>
      </c>
      <c r="J25" s="11">
        <v>0</v>
      </c>
      <c r="K25" s="11">
        <f>I25-J25</f>
        <v>-395535.58000000007</v>
      </c>
      <c r="L25" s="2"/>
      <c r="M25" s="2"/>
    </row>
    <row r="26" spans="1:13" ht="12.75" customHeight="1" x14ac:dyDescent="0.25">
      <c r="A26" s="9">
        <v>76</v>
      </c>
      <c r="B26">
        <v>70050</v>
      </c>
      <c r="C26" s="8" t="s">
        <v>84</v>
      </c>
      <c r="D26" s="2" t="s">
        <v>23</v>
      </c>
      <c r="F26" s="11">
        <v>984613</v>
      </c>
      <c r="G26" s="11">
        <v>1055815</v>
      </c>
      <c r="H26" s="11">
        <f>680131.52+67995.79</f>
        <v>748127.31</v>
      </c>
      <c r="I26" s="11">
        <f t="shared" ref="I26:I45" si="1">G26-H26</f>
        <v>307687.68999999994</v>
      </c>
      <c r="J26" s="11">
        <v>0</v>
      </c>
      <c r="K26" s="11">
        <f t="shared" ref="K26:K45" si="2">I26-J26</f>
        <v>307687.68999999994</v>
      </c>
      <c r="L26" s="2"/>
      <c r="M26" s="2"/>
    </row>
    <row r="27" spans="1:13" ht="12.75" customHeight="1" x14ac:dyDescent="0.25">
      <c r="A27" s="9">
        <v>76</v>
      </c>
      <c r="B27">
        <v>70050</v>
      </c>
      <c r="C27" s="8" t="s">
        <v>84</v>
      </c>
      <c r="D27" s="2" t="s">
        <v>115</v>
      </c>
      <c r="F27" s="11">
        <v>13050</v>
      </c>
      <c r="G27" s="11">
        <v>12000</v>
      </c>
      <c r="H27" s="11">
        <f>6424.92+650.89</f>
        <v>7075.81</v>
      </c>
      <c r="I27" s="11">
        <f t="shared" si="1"/>
        <v>4924.1899999999996</v>
      </c>
      <c r="J27" s="11">
        <v>0</v>
      </c>
      <c r="K27" s="11">
        <f t="shared" si="2"/>
        <v>4924.1899999999996</v>
      </c>
      <c r="L27" s="2"/>
      <c r="M27" s="2"/>
    </row>
    <row r="28" spans="1:13" ht="12.75" customHeight="1" x14ac:dyDescent="0.25">
      <c r="A28" s="9">
        <v>76</v>
      </c>
      <c r="B28">
        <v>70050</v>
      </c>
      <c r="C28" s="8" t="s">
        <v>84</v>
      </c>
      <c r="D28" s="2" t="s">
        <v>116</v>
      </c>
      <c r="F28" s="11">
        <v>200</v>
      </c>
      <c r="G28" s="11">
        <v>200</v>
      </c>
      <c r="H28" s="11">
        <v>0</v>
      </c>
      <c r="I28" s="11">
        <f t="shared" si="1"/>
        <v>200</v>
      </c>
      <c r="J28" s="11">
        <v>0</v>
      </c>
      <c r="K28" s="11">
        <f t="shared" si="2"/>
        <v>200</v>
      </c>
      <c r="L28" s="2"/>
      <c r="M28" s="2"/>
    </row>
    <row r="29" spans="1:13" ht="12.75" customHeight="1" x14ac:dyDescent="0.25">
      <c r="A29" s="9">
        <v>76</v>
      </c>
      <c r="B29">
        <v>70050</v>
      </c>
      <c r="C29" s="8" t="s">
        <v>84</v>
      </c>
      <c r="D29" s="2" t="s">
        <v>24</v>
      </c>
      <c r="F29" s="11">
        <v>327119</v>
      </c>
      <c r="G29" s="11">
        <v>363597</v>
      </c>
      <c r="H29" s="11">
        <f>203382.49+18564.98</f>
        <v>221947.47</v>
      </c>
      <c r="I29" s="11">
        <f t="shared" si="1"/>
        <v>141649.53</v>
      </c>
      <c r="J29" s="11">
        <v>0</v>
      </c>
      <c r="K29" s="11">
        <f t="shared" si="2"/>
        <v>141649.53</v>
      </c>
      <c r="L29" s="2"/>
      <c r="M29" s="2"/>
    </row>
    <row r="30" spans="1:13" ht="12.75" customHeight="1" x14ac:dyDescent="0.25">
      <c r="A30" s="9">
        <v>76</v>
      </c>
      <c r="B30">
        <v>70050</v>
      </c>
      <c r="C30" s="8" t="s">
        <v>84</v>
      </c>
      <c r="D30" s="2" t="s">
        <v>122</v>
      </c>
      <c r="F30" s="11">
        <v>0</v>
      </c>
      <c r="G30" s="11">
        <v>0</v>
      </c>
      <c r="H30" s="11">
        <v>188.58</v>
      </c>
      <c r="I30" s="11">
        <f t="shared" si="1"/>
        <v>-188.58</v>
      </c>
      <c r="J30" s="11">
        <v>0</v>
      </c>
      <c r="K30" s="11">
        <f t="shared" si="2"/>
        <v>-188.58</v>
      </c>
      <c r="L30" s="2"/>
      <c r="M30" s="2"/>
    </row>
    <row r="31" spans="1:13" ht="12.75" customHeight="1" x14ac:dyDescent="0.25">
      <c r="A31" s="9">
        <v>76</v>
      </c>
      <c r="B31">
        <v>70050</v>
      </c>
      <c r="C31" s="8" t="s">
        <v>84</v>
      </c>
      <c r="D31" s="2" t="s">
        <v>25</v>
      </c>
      <c r="F31" s="11">
        <v>5900</v>
      </c>
      <c r="G31" s="11">
        <v>5900</v>
      </c>
      <c r="H31" s="11">
        <v>214.21</v>
      </c>
      <c r="I31" s="11">
        <f t="shared" si="1"/>
        <v>5685.79</v>
      </c>
      <c r="J31" s="11">
        <v>0</v>
      </c>
      <c r="K31" s="11">
        <f t="shared" si="2"/>
        <v>5685.79</v>
      </c>
      <c r="L31" s="2"/>
      <c r="M31" s="2"/>
    </row>
    <row r="32" spans="1:13" ht="12.75" customHeight="1" x14ac:dyDescent="0.25">
      <c r="A32" s="9">
        <v>76</v>
      </c>
      <c r="B32">
        <v>70050</v>
      </c>
      <c r="C32" s="8" t="s">
        <v>84</v>
      </c>
      <c r="D32" s="2" t="s">
        <v>26</v>
      </c>
      <c r="F32" s="11">
        <v>7177473</v>
      </c>
      <c r="G32" s="11">
        <v>7484693</v>
      </c>
      <c r="H32" s="11">
        <f>7204192.42+65789.52</f>
        <v>7269981.9399999995</v>
      </c>
      <c r="I32" s="11">
        <f t="shared" si="1"/>
        <v>214711.06000000052</v>
      </c>
      <c r="J32" s="11">
        <v>0</v>
      </c>
      <c r="K32" s="11">
        <f t="shared" si="2"/>
        <v>214711.06000000052</v>
      </c>
      <c r="L32" s="2"/>
      <c r="M32" s="2"/>
    </row>
    <row r="33" spans="1:13" ht="12.75" customHeight="1" x14ac:dyDescent="0.25">
      <c r="A33" s="9">
        <v>76</v>
      </c>
      <c r="B33">
        <v>70050</v>
      </c>
      <c r="C33" s="8" t="s">
        <v>84</v>
      </c>
      <c r="D33" s="2" t="s">
        <v>27</v>
      </c>
      <c r="F33" s="11">
        <v>251165</v>
      </c>
      <c r="G33" s="11">
        <v>244601</v>
      </c>
      <c r="H33" s="11">
        <f>155460.52+14125.42</f>
        <v>169585.94</v>
      </c>
      <c r="I33" s="11">
        <f t="shared" si="1"/>
        <v>75015.06</v>
      </c>
      <c r="J33" s="11">
        <v>0</v>
      </c>
      <c r="K33" s="11">
        <f t="shared" si="2"/>
        <v>75015.06</v>
      </c>
      <c r="L33" s="2"/>
      <c r="M33" s="2"/>
    </row>
    <row r="34" spans="1:13" ht="12.75" customHeight="1" x14ac:dyDescent="0.25">
      <c r="A34" s="9">
        <v>76</v>
      </c>
      <c r="B34">
        <v>70050</v>
      </c>
      <c r="C34" s="8" t="s">
        <v>84</v>
      </c>
      <c r="D34" s="2" t="s">
        <v>28</v>
      </c>
      <c r="F34" s="11">
        <v>312200</v>
      </c>
      <c r="G34" s="11">
        <v>307404</v>
      </c>
      <c r="H34" s="11">
        <f>163735.95+16523.12</f>
        <v>180259.07</v>
      </c>
      <c r="I34" s="11">
        <f t="shared" si="1"/>
        <v>127144.93</v>
      </c>
      <c r="J34" s="11">
        <v>0</v>
      </c>
      <c r="K34" s="11">
        <f t="shared" si="2"/>
        <v>127144.93</v>
      </c>
      <c r="L34" s="2"/>
      <c r="M34" s="2"/>
    </row>
    <row r="35" spans="1:13" ht="12.75" customHeight="1" x14ac:dyDescent="0.25">
      <c r="A35" s="9">
        <v>76</v>
      </c>
      <c r="B35">
        <v>70050</v>
      </c>
      <c r="C35" s="8" t="s">
        <v>84</v>
      </c>
      <c r="D35" s="2" t="s">
        <v>29</v>
      </c>
      <c r="F35" s="11">
        <v>18300</v>
      </c>
      <c r="G35" s="11">
        <v>17100</v>
      </c>
      <c r="H35" s="11">
        <f>14618.83+1195.62</f>
        <v>15814.45</v>
      </c>
      <c r="I35" s="11">
        <f t="shared" si="1"/>
        <v>1285.5499999999993</v>
      </c>
      <c r="J35" s="11">
        <v>0</v>
      </c>
      <c r="K35" s="11">
        <f t="shared" si="2"/>
        <v>1285.5499999999993</v>
      </c>
      <c r="L35" s="2"/>
      <c r="M35" s="2"/>
    </row>
    <row r="36" spans="1:13" ht="12.75" customHeight="1" x14ac:dyDescent="0.25">
      <c r="A36" s="9">
        <v>76</v>
      </c>
      <c r="B36">
        <v>70050</v>
      </c>
      <c r="C36" s="8" t="s">
        <v>84</v>
      </c>
      <c r="D36" s="2" t="s">
        <v>30</v>
      </c>
      <c r="F36" s="11">
        <v>27775</v>
      </c>
      <c r="G36" s="11">
        <v>28696</v>
      </c>
      <c r="H36" s="11">
        <f>18786.94+1845.54</f>
        <v>20632.48</v>
      </c>
      <c r="I36" s="11">
        <f t="shared" si="1"/>
        <v>8063.52</v>
      </c>
      <c r="J36" s="11">
        <v>0</v>
      </c>
      <c r="K36" s="11">
        <f t="shared" si="2"/>
        <v>8063.52</v>
      </c>
      <c r="L36" s="2"/>
      <c r="M36" s="2"/>
    </row>
    <row r="37" spans="1:13" ht="12.75" customHeight="1" x14ac:dyDescent="0.25">
      <c r="A37" s="9">
        <v>76</v>
      </c>
      <c r="B37">
        <v>70050</v>
      </c>
      <c r="C37" s="8" t="s">
        <v>84</v>
      </c>
      <c r="D37" s="2" t="s">
        <v>31</v>
      </c>
      <c r="F37" s="11">
        <v>33500</v>
      </c>
      <c r="G37" s="11">
        <v>39500</v>
      </c>
      <c r="H37" s="11">
        <f>35207.77+5621.52</f>
        <v>40829.289999999994</v>
      </c>
      <c r="I37" s="11">
        <f t="shared" si="1"/>
        <v>-1329.2899999999936</v>
      </c>
      <c r="J37" s="11">
        <v>0</v>
      </c>
      <c r="K37" s="11">
        <f t="shared" si="2"/>
        <v>-1329.2899999999936</v>
      </c>
      <c r="L37" s="2"/>
      <c r="M37" s="2"/>
    </row>
    <row r="38" spans="1:13" ht="12.75" customHeight="1" x14ac:dyDescent="0.25">
      <c r="A38" s="9">
        <v>76</v>
      </c>
      <c r="B38">
        <v>70050</v>
      </c>
      <c r="C38" s="8" t="s">
        <v>84</v>
      </c>
      <c r="D38" s="2" t="s">
        <v>32</v>
      </c>
      <c r="F38" s="11">
        <v>177700</v>
      </c>
      <c r="G38" s="11">
        <v>175502</v>
      </c>
      <c r="H38" s="11">
        <f>104249.38+8563.25</f>
        <v>112812.63</v>
      </c>
      <c r="I38" s="11">
        <f t="shared" si="1"/>
        <v>62689.369999999995</v>
      </c>
      <c r="J38" s="11">
        <v>0</v>
      </c>
      <c r="K38" s="11">
        <f t="shared" si="2"/>
        <v>62689.369999999995</v>
      </c>
      <c r="L38" s="2"/>
      <c r="M38" s="2"/>
    </row>
    <row r="39" spans="1:13" ht="12.75" customHeight="1" x14ac:dyDescent="0.25">
      <c r="A39" s="9">
        <v>76</v>
      </c>
      <c r="B39">
        <v>70050</v>
      </c>
      <c r="C39" s="8" t="s">
        <v>84</v>
      </c>
      <c r="D39" s="2" t="s">
        <v>86</v>
      </c>
      <c r="F39" s="11">
        <v>13179</v>
      </c>
      <c r="G39" s="11">
        <v>16314</v>
      </c>
      <c r="H39" s="11">
        <f>9193.91+919.3</f>
        <v>10113.209999999999</v>
      </c>
      <c r="I39" s="11">
        <f t="shared" si="1"/>
        <v>6200.7900000000009</v>
      </c>
      <c r="J39" s="11">
        <v>0</v>
      </c>
      <c r="K39" s="11">
        <f t="shared" si="2"/>
        <v>6200.7900000000009</v>
      </c>
      <c r="L39" s="2"/>
      <c r="M39" s="2"/>
    </row>
    <row r="40" spans="1:13" ht="12.75" customHeight="1" x14ac:dyDescent="0.25">
      <c r="A40" s="9">
        <v>76</v>
      </c>
      <c r="B40">
        <v>70050</v>
      </c>
      <c r="C40" s="8" t="s">
        <v>84</v>
      </c>
      <c r="D40" s="2" t="s">
        <v>87</v>
      </c>
      <c r="F40" s="11">
        <v>234624</v>
      </c>
      <c r="G40" s="11">
        <v>261144</v>
      </c>
      <c r="H40" s="11">
        <v>141921.34</v>
      </c>
      <c r="I40" s="11">
        <f t="shared" si="1"/>
        <v>119222.66</v>
      </c>
      <c r="J40" s="11">
        <v>0</v>
      </c>
      <c r="K40" s="11">
        <f t="shared" si="2"/>
        <v>119222.66</v>
      </c>
      <c r="L40" s="2"/>
      <c r="M40" s="2"/>
    </row>
    <row r="41" spans="1:13" ht="12.75" customHeight="1" x14ac:dyDescent="0.25">
      <c r="A41" s="9">
        <v>76</v>
      </c>
      <c r="B41">
        <v>70050</v>
      </c>
      <c r="C41" s="8" t="s">
        <v>84</v>
      </c>
      <c r="D41" s="2" t="s">
        <v>120</v>
      </c>
      <c r="F41" s="11">
        <v>0</v>
      </c>
      <c r="G41" s="11">
        <v>0</v>
      </c>
      <c r="H41" s="11">
        <v>0</v>
      </c>
      <c r="I41" s="11">
        <f t="shared" si="1"/>
        <v>0</v>
      </c>
      <c r="J41" s="11">
        <v>10500</v>
      </c>
      <c r="K41" s="11">
        <f t="shared" si="2"/>
        <v>-10500</v>
      </c>
      <c r="L41" s="2"/>
      <c r="M41" s="2"/>
    </row>
    <row r="42" spans="1:13" ht="12.75" customHeight="1" x14ac:dyDescent="0.25">
      <c r="A42" s="9">
        <v>76</v>
      </c>
      <c r="B42">
        <v>70050</v>
      </c>
      <c r="C42" s="8" t="s">
        <v>84</v>
      </c>
      <c r="D42" s="2" t="s">
        <v>119</v>
      </c>
      <c r="F42" s="11">
        <v>124730</v>
      </c>
      <c r="G42" s="11">
        <v>124968</v>
      </c>
      <c r="H42" s="11">
        <f>61376.51+6158.93</f>
        <v>67535.44</v>
      </c>
      <c r="I42" s="11">
        <f t="shared" si="1"/>
        <v>57432.56</v>
      </c>
      <c r="J42" s="11">
        <v>0</v>
      </c>
      <c r="K42" s="11">
        <f t="shared" si="2"/>
        <v>57432.56</v>
      </c>
      <c r="L42" s="2"/>
      <c r="M42" s="2"/>
    </row>
    <row r="43" spans="1:13" ht="12.75" customHeight="1" x14ac:dyDescent="0.25">
      <c r="A43" s="9">
        <v>76</v>
      </c>
      <c r="B43">
        <v>70050</v>
      </c>
      <c r="C43" s="8" t="s">
        <v>84</v>
      </c>
      <c r="D43" s="2" t="s">
        <v>121</v>
      </c>
      <c r="F43" s="11">
        <v>260278</v>
      </c>
      <c r="G43" s="11">
        <v>101218.25</v>
      </c>
      <c r="H43" s="11">
        <v>0</v>
      </c>
      <c r="I43" s="11">
        <f t="shared" si="1"/>
        <v>101218.25</v>
      </c>
      <c r="J43" s="11">
        <v>0</v>
      </c>
      <c r="K43" s="11">
        <f t="shared" si="2"/>
        <v>101218.25</v>
      </c>
      <c r="L43" s="2"/>
      <c r="M43" s="2"/>
    </row>
    <row r="44" spans="1:13" ht="12.75" customHeight="1" x14ac:dyDescent="0.25">
      <c r="A44" s="9">
        <v>76</v>
      </c>
      <c r="B44">
        <v>70050</v>
      </c>
      <c r="C44" s="8" t="s">
        <v>84</v>
      </c>
      <c r="D44" s="2" t="s">
        <v>117</v>
      </c>
      <c r="F44" s="11">
        <v>4986</v>
      </c>
      <c r="G44" s="11">
        <v>8939</v>
      </c>
      <c r="H44" s="11">
        <v>0</v>
      </c>
      <c r="I44" s="11">
        <f t="shared" si="1"/>
        <v>8939</v>
      </c>
      <c r="J44" s="11">
        <v>0</v>
      </c>
      <c r="K44" s="11">
        <f t="shared" si="2"/>
        <v>8939</v>
      </c>
      <c r="L44" s="2"/>
      <c r="M44" s="2"/>
    </row>
    <row r="45" spans="1:13" ht="12.75" customHeight="1" x14ac:dyDescent="0.25">
      <c r="A45" s="9">
        <v>76</v>
      </c>
      <c r="B45">
        <v>70050</v>
      </c>
      <c r="C45" s="8" t="s">
        <v>84</v>
      </c>
      <c r="D45" s="2" t="s">
        <v>118</v>
      </c>
      <c r="F45" s="11">
        <v>104239</v>
      </c>
      <c r="G45" s="11">
        <v>18129</v>
      </c>
      <c r="H45" s="11">
        <v>0</v>
      </c>
      <c r="I45" s="11">
        <f t="shared" si="1"/>
        <v>18129</v>
      </c>
      <c r="J45" s="11">
        <v>0</v>
      </c>
      <c r="K45" s="11">
        <f t="shared" si="2"/>
        <v>18129</v>
      </c>
      <c r="L45" s="2"/>
      <c r="M45" s="2"/>
    </row>
    <row r="46" spans="1:13" ht="12.75" customHeight="1" x14ac:dyDescent="0.25">
      <c r="A46" s="15" t="s">
        <v>88</v>
      </c>
      <c r="B46" s="2"/>
      <c r="C46" s="2"/>
      <c r="D46" s="10"/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2"/>
      <c r="M46" s="2"/>
    </row>
    <row r="47" spans="1:13" ht="12.75" customHeight="1" x14ac:dyDescent="0.25">
      <c r="A47" s="12" t="s">
        <v>89</v>
      </c>
      <c r="B47" s="2"/>
      <c r="C47" s="2"/>
      <c r="D47" s="10"/>
      <c r="F47" s="11">
        <f t="shared" ref="F47:K47" si="3">SUM(F25:F45)</f>
        <v>8498720</v>
      </c>
      <c r="G47" s="11">
        <f t="shared" si="3"/>
        <v>8729325.25</v>
      </c>
      <c r="H47" s="11">
        <f t="shared" si="3"/>
        <v>7866179.7500000009</v>
      </c>
      <c r="I47" s="11">
        <f t="shared" si="3"/>
        <v>863145.50000000047</v>
      </c>
      <c r="J47" s="11">
        <f t="shared" si="3"/>
        <v>10500</v>
      </c>
      <c r="K47" s="11">
        <f t="shared" si="3"/>
        <v>852645.50000000047</v>
      </c>
      <c r="L47" s="2"/>
      <c r="M47" s="2"/>
    </row>
    <row r="48" spans="1:13" ht="12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2.75" customHeight="1" x14ac:dyDescent="0.25">
      <c r="A49" s="2"/>
      <c r="B49" s="2"/>
      <c r="C49" s="2"/>
      <c r="D49" s="2"/>
      <c r="E49" s="2"/>
      <c r="F49" s="2"/>
      <c r="G49" s="2"/>
      <c r="H49" s="88"/>
      <c r="I49" s="2"/>
      <c r="J49" s="2"/>
      <c r="K49" s="2"/>
      <c r="L49" s="2"/>
      <c r="M49" s="2"/>
    </row>
    <row r="50" spans="1:13" ht="12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x14ac:dyDescent="0.25">
      <c r="A51" s="20" t="s">
        <v>101</v>
      </c>
      <c r="B51" s="20"/>
      <c r="C51" s="20"/>
      <c r="D51" s="20"/>
      <c r="E51" s="20"/>
      <c r="F51" s="20"/>
      <c r="G51" s="19"/>
      <c r="H51" s="19"/>
      <c r="K51" s="19"/>
    </row>
    <row r="52" spans="1:13" ht="13.8" thickBot="1" x14ac:dyDescent="0.3">
      <c r="A52" s="39" t="s">
        <v>106</v>
      </c>
      <c r="B52" s="40"/>
      <c r="C52" s="41"/>
      <c r="D52" s="21"/>
      <c r="E52" s="21"/>
      <c r="F52" s="21"/>
      <c r="G52" s="21"/>
      <c r="H52" s="21"/>
      <c r="I52" s="21"/>
      <c r="J52" s="21"/>
      <c r="K52" s="21"/>
    </row>
    <row r="53" spans="1:13" ht="13.8" thickTop="1" x14ac:dyDescent="0.25">
      <c r="A53" s="22"/>
      <c r="B53" s="23"/>
      <c r="C53" s="23"/>
      <c r="D53" s="23"/>
      <c r="E53" s="24"/>
      <c r="F53" s="22"/>
      <c r="G53" s="69"/>
      <c r="H53" s="24"/>
      <c r="I53" s="28"/>
      <c r="J53" s="29"/>
      <c r="K53" s="29"/>
      <c r="L53" s="28" t="s">
        <v>35</v>
      </c>
    </row>
    <row r="54" spans="1:13" ht="13.8" thickBot="1" x14ac:dyDescent="0.3">
      <c r="A54" s="30"/>
      <c r="B54" s="106" t="s">
        <v>144</v>
      </c>
      <c r="C54" s="106" t="s">
        <v>144</v>
      </c>
      <c r="D54" s="106" t="s">
        <v>144</v>
      </c>
      <c r="E54" s="106" t="s">
        <v>144</v>
      </c>
      <c r="F54" s="111" t="s">
        <v>66</v>
      </c>
      <c r="G54" s="112"/>
      <c r="H54" s="113"/>
      <c r="I54" s="71" t="s">
        <v>34</v>
      </c>
      <c r="J54" s="32" t="s">
        <v>37</v>
      </c>
      <c r="K54" s="72" t="s">
        <v>69</v>
      </c>
      <c r="L54" s="33" t="s">
        <v>36</v>
      </c>
    </row>
    <row r="55" spans="1:13" x14ac:dyDescent="0.25">
      <c r="A55" s="70" t="s">
        <v>71</v>
      </c>
      <c r="B55" s="34" t="s">
        <v>38</v>
      </c>
      <c r="C55" s="34" t="s">
        <v>74</v>
      </c>
      <c r="D55" s="34" t="s">
        <v>81</v>
      </c>
      <c r="E55" s="34" t="s">
        <v>39</v>
      </c>
      <c r="F55" s="28"/>
      <c r="G55" s="24" t="s">
        <v>67</v>
      </c>
      <c r="H55" s="29"/>
      <c r="I55" s="107" t="s">
        <v>144</v>
      </c>
      <c r="J55" s="32" t="s">
        <v>40</v>
      </c>
      <c r="K55" s="73" t="s">
        <v>70</v>
      </c>
      <c r="L55" s="32" t="s">
        <v>39</v>
      </c>
    </row>
    <row r="56" spans="1:13" ht="13.8" thickBot="1" x14ac:dyDescent="0.3">
      <c r="A56" s="35" t="s">
        <v>72</v>
      </c>
      <c r="B56" s="36" t="s">
        <v>73</v>
      </c>
      <c r="C56" s="36" t="s">
        <v>75</v>
      </c>
      <c r="D56" s="36"/>
      <c r="E56" s="36" t="s">
        <v>41</v>
      </c>
      <c r="F56" s="37" t="s">
        <v>76</v>
      </c>
      <c r="G56" s="38" t="s">
        <v>42</v>
      </c>
      <c r="H56" s="37" t="s">
        <v>68</v>
      </c>
      <c r="I56" s="37" t="s">
        <v>41</v>
      </c>
      <c r="J56" s="37" t="s">
        <v>43</v>
      </c>
      <c r="K56" s="37" t="s">
        <v>68</v>
      </c>
      <c r="L56" s="37" t="s">
        <v>44</v>
      </c>
    </row>
    <row r="57" spans="1:13" x14ac:dyDescent="0.25">
      <c r="A57" s="22"/>
      <c r="B57" s="23"/>
      <c r="C57" s="23"/>
      <c r="D57" s="23"/>
      <c r="E57" s="31"/>
      <c r="F57" s="29"/>
      <c r="G57" s="29"/>
      <c r="H57" s="29"/>
      <c r="I57" s="29"/>
      <c r="J57" s="29"/>
      <c r="L57" s="29"/>
    </row>
    <row r="58" spans="1:13" x14ac:dyDescent="0.25">
      <c r="A58" s="2" t="s">
        <v>45</v>
      </c>
      <c r="B58" s="43">
        <f>G26</f>
        <v>1055815</v>
      </c>
      <c r="C58" s="11">
        <f>H26</f>
        <v>748127.31</v>
      </c>
      <c r="D58" s="19">
        <f>J25</f>
        <v>0</v>
      </c>
      <c r="E58" s="44">
        <f>B58-C58-D58</f>
        <v>307687.68999999994</v>
      </c>
      <c r="F58" s="45">
        <v>2601</v>
      </c>
      <c r="G58" s="45"/>
      <c r="H58" s="45" t="s">
        <v>46</v>
      </c>
      <c r="I58" s="45">
        <f>B58-C58-F58-G58</f>
        <v>305086.68999999994</v>
      </c>
      <c r="J58" s="45">
        <f>-I58</f>
        <v>-305086.68999999994</v>
      </c>
      <c r="K58" s="45" t="s">
        <v>130</v>
      </c>
      <c r="L58" s="45">
        <f>I58+J58</f>
        <v>0</v>
      </c>
    </row>
    <row r="59" spans="1:13" x14ac:dyDescent="0.25">
      <c r="A59" s="2" t="s">
        <v>123</v>
      </c>
      <c r="B59" s="43">
        <f t="shared" ref="B59:B77" si="4">G27</f>
        <v>12000</v>
      </c>
      <c r="C59" s="11">
        <f t="shared" ref="C59:C77" si="5">H27</f>
        <v>7075.81</v>
      </c>
      <c r="D59" s="19">
        <f t="shared" ref="D59:D77" si="6">J26</f>
        <v>0</v>
      </c>
      <c r="E59" s="44">
        <f t="shared" ref="E59:E80" si="7">B59-C59-D59</f>
        <v>4924.1899999999996</v>
      </c>
      <c r="F59" s="45">
        <v>80</v>
      </c>
      <c r="G59" s="45"/>
      <c r="H59" s="45" t="s">
        <v>48</v>
      </c>
      <c r="I59" s="45">
        <f t="shared" ref="I59:I80" si="8">B59-C59-F59-G59</f>
        <v>4844.1899999999996</v>
      </c>
      <c r="J59" s="45">
        <f t="shared" ref="J59:J80" si="9">-I59</f>
        <v>-4844.1899999999996</v>
      </c>
      <c r="K59" s="45" t="s">
        <v>130</v>
      </c>
      <c r="L59" s="45">
        <f t="shared" ref="L59:L80" si="10">I59+J59</f>
        <v>0</v>
      </c>
    </row>
    <row r="60" spans="1:13" x14ac:dyDescent="0.25">
      <c r="A60" s="2" t="s">
        <v>124</v>
      </c>
      <c r="B60" s="43">
        <f t="shared" si="4"/>
        <v>200</v>
      </c>
      <c r="C60" s="11">
        <f t="shared" si="5"/>
        <v>0</v>
      </c>
      <c r="D60" s="19">
        <f t="shared" si="6"/>
        <v>0</v>
      </c>
      <c r="E60" s="44">
        <f t="shared" si="7"/>
        <v>200</v>
      </c>
      <c r="F60" s="45"/>
      <c r="G60" s="45"/>
      <c r="I60" s="45">
        <f t="shared" si="8"/>
        <v>200</v>
      </c>
      <c r="J60" s="45">
        <f t="shared" si="9"/>
        <v>-200</v>
      </c>
      <c r="K60" s="45" t="s">
        <v>130</v>
      </c>
      <c r="L60" s="45">
        <f t="shared" si="10"/>
        <v>0</v>
      </c>
    </row>
    <row r="61" spans="1:13" x14ac:dyDescent="0.25">
      <c r="A61" s="2" t="s">
        <v>47</v>
      </c>
      <c r="B61" s="43">
        <f t="shared" si="4"/>
        <v>363597</v>
      </c>
      <c r="C61" s="11">
        <f t="shared" si="5"/>
        <v>221947.47</v>
      </c>
      <c r="D61" s="19">
        <f t="shared" si="6"/>
        <v>0</v>
      </c>
      <c r="E61" s="44">
        <f t="shared" si="7"/>
        <v>141649.53</v>
      </c>
      <c r="F61" s="45"/>
      <c r="G61" s="45"/>
      <c r="H61" s="45"/>
      <c r="I61" s="45">
        <f t="shared" si="8"/>
        <v>141649.53</v>
      </c>
      <c r="J61">
        <v>0</v>
      </c>
      <c r="K61" s="45" t="s">
        <v>131</v>
      </c>
      <c r="L61" s="45">
        <v>0</v>
      </c>
    </row>
    <row r="62" spans="1:13" x14ac:dyDescent="0.25">
      <c r="A62" s="2" t="s">
        <v>125</v>
      </c>
      <c r="B62" s="43">
        <f t="shared" si="4"/>
        <v>0</v>
      </c>
      <c r="C62" s="11">
        <f t="shared" si="5"/>
        <v>188.58</v>
      </c>
      <c r="D62" s="19">
        <f t="shared" si="6"/>
        <v>0</v>
      </c>
      <c r="E62" s="44">
        <f t="shared" si="7"/>
        <v>-188.58</v>
      </c>
      <c r="F62" s="89"/>
      <c r="G62" s="89"/>
      <c r="H62" s="89"/>
      <c r="I62" s="45">
        <f t="shared" si="8"/>
        <v>-188.58</v>
      </c>
      <c r="J62" s="45">
        <f t="shared" si="9"/>
        <v>188.58</v>
      </c>
      <c r="K62" s="45" t="s">
        <v>130</v>
      </c>
      <c r="L62" s="45">
        <f t="shared" si="10"/>
        <v>0</v>
      </c>
    </row>
    <row r="63" spans="1:13" x14ac:dyDescent="0.25">
      <c r="A63" s="2" t="s">
        <v>49</v>
      </c>
      <c r="B63" s="43">
        <f t="shared" si="4"/>
        <v>5900</v>
      </c>
      <c r="C63" s="11">
        <f t="shared" si="5"/>
        <v>214.21</v>
      </c>
      <c r="D63" s="19">
        <f t="shared" si="6"/>
        <v>0</v>
      </c>
      <c r="E63" s="44">
        <f t="shared" si="7"/>
        <v>5685.79</v>
      </c>
      <c r="F63" s="45"/>
      <c r="G63" s="45"/>
      <c r="H63" s="45"/>
      <c r="I63" s="45">
        <f t="shared" si="8"/>
        <v>5685.79</v>
      </c>
      <c r="J63" s="45">
        <f t="shared" si="9"/>
        <v>-5685.79</v>
      </c>
      <c r="K63" s="45" t="s">
        <v>130</v>
      </c>
      <c r="L63" s="45">
        <f t="shared" si="10"/>
        <v>0</v>
      </c>
    </row>
    <row r="64" spans="1:13" x14ac:dyDescent="0.25">
      <c r="A64" s="2" t="s">
        <v>50</v>
      </c>
      <c r="B64" s="43">
        <f t="shared" si="4"/>
        <v>7484693</v>
      </c>
      <c r="C64" s="11">
        <f t="shared" si="5"/>
        <v>7269981.9399999995</v>
      </c>
      <c r="D64" s="19">
        <f t="shared" si="6"/>
        <v>0</v>
      </c>
      <c r="E64" s="44">
        <f t="shared" si="7"/>
        <v>214711.06000000052</v>
      </c>
      <c r="F64" s="45">
        <v>3600</v>
      </c>
      <c r="G64" s="45"/>
      <c r="H64" s="45" t="s">
        <v>51</v>
      </c>
      <c r="I64" s="45">
        <f t="shared" si="8"/>
        <v>211111.06000000052</v>
      </c>
      <c r="J64" s="45">
        <f t="shared" si="9"/>
        <v>-211111.06000000052</v>
      </c>
      <c r="K64" s="45" t="s">
        <v>130</v>
      </c>
      <c r="L64" s="45">
        <f t="shared" si="10"/>
        <v>0</v>
      </c>
    </row>
    <row r="65" spans="1:12" x14ac:dyDescent="0.25">
      <c r="A65" s="2" t="s">
        <v>52</v>
      </c>
      <c r="B65" s="43">
        <f t="shared" si="4"/>
        <v>244601</v>
      </c>
      <c r="C65" s="11">
        <f t="shared" si="5"/>
        <v>169585.94</v>
      </c>
      <c r="D65" s="19">
        <f t="shared" si="6"/>
        <v>0</v>
      </c>
      <c r="E65" s="44">
        <f t="shared" si="7"/>
        <v>75015.06</v>
      </c>
      <c r="F65" s="45"/>
      <c r="G65" s="45"/>
      <c r="H65" s="45"/>
      <c r="I65" s="45">
        <f t="shared" si="8"/>
        <v>75015.06</v>
      </c>
      <c r="J65" s="45">
        <f t="shared" si="9"/>
        <v>-75015.06</v>
      </c>
      <c r="K65" s="45" t="s">
        <v>130</v>
      </c>
      <c r="L65" s="45">
        <f t="shared" si="10"/>
        <v>0</v>
      </c>
    </row>
    <row r="66" spans="1:12" x14ac:dyDescent="0.25">
      <c r="A66" s="2" t="s">
        <v>53</v>
      </c>
      <c r="B66" s="43">
        <f t="shared" si="4"/>
        <v>307404</v>
      </c>
      <c r="C66" s="11">
        <f t="shared" si="5"/>
        <v>180259.07</v>
      </c>
      <c r="D66" s="19">
        <f t="shared" si="6"/>
        <v>0</v>
      </c>
      <c r="E66" s="44">
        <f t="shared" si="7"/>
        <v>127144.93</v>
      </c>
      <c r="F66" s="45"/>
      <c r="G66" s="45"/>
      <c r="H66" s="45"/>
      <c r="I66" s="45">
        <f t="shared" si="8"/>
        <v>127144.93</v>
      </c>
      <c r="J66" s="45">
        <f t="shared" si="9"/>
        <v>-127144.93</v>
      </c>
      <c r="K66" s="45" t="s">
        <v>130</v>
      </c>
      <c r="L66" s="45">
        <f t="shared" si="10"/>
        <v>0</v>
      </c>
    </row>
    <row r="67" spans="1:12" x14ac:dyDescent="0.25">
      <c r="A67" s="2" t="s">
        <v>54</v>
      </c>
      <c r="B67" s="43">
        <f t="shared" si="4"/>
        <v>17100</v>
      </c>
      <c r="C67" s="11">
        <f t="shared" si="5"/>
        <v>15814.45</v>
      </c>
      <c r="D67" s="19">
        <f t="shared" si="6"/>
        <v>0</v>
      </c>
      <c r="E67" s="44">
        <f t="shared" si="7"/>
        <v>1285.5499999999993</v>
      </c>
      <c r="F67" s="45"/>
      <c r="G67" s="45"/>
      <c r="H67" s="45"/>
      <c r="I67" s="45">
        <f t="shared" si="8"/>
        <v>1285.5499999999993</v>
      </c>
      <c r="J67" s="45">
        <f t="shared" si="9"/>
        <v>-1285.5499999999993</v>
      </c>
      <c r="K67" s="45" t="s">
        <v>130</v>
      </c>
      <c r="L67" s="45">
        <f t="shared" si="10"/>
        <v>0</v>
      </c>
    </row>
    <row r="68" spans="1:12" x14ac:dyDescent="0.25">
      <c r="A68" s="2" t="s">
        <v>55</v>
      </c>
      <c r="B68" s="43">
        <f t="shared" si="4"/>
        <v>28696</v>
      </c>
      <c r="C68" s="11">
        <f t="shared" si="5"/>
        <v>20632.48</v>
      </c>
      <c r="D68" s="19">
        <f t="shared" si="6"/>
        <v>0</v>
      </c>
      <c r="E68" s="44">
        <f t="shared" si="7"/>
        <v>8063.52</v>
      </c>
      <c r="F68" s="45"/>
      <c r="G68" s="45"/>
      <c r="H68" s="45"/>
      <c r="I68" s="45">
        <f t="shared" si="8"/>
        <v>8063.52</v>
      </c>
      <c r="J68" s="45">
        <f t="shared" si="9"/>
        <v>-8063.52</v>
      </c>
      <c r="K68" s="45" t="s">
        <v>130</v>
      </c>
      <c r="L68" s="45">
        <f t="shared" si="10"/>
        <v>0</v>
      </c>
    </row>
    <row r="69" spans="1:12" x14ac:dyDescent="0.25">
      <c r="A69" s="2" t="s">
        <v>56</v>
      </c>
      <c r="B69" s="43">
        <f t="shared" si="4"/>
        <v>39500</v>
      </c>
      <c r="C69" s="11">
        <f t="shared" si="5"/>
        <v>40829.289999999994</v>
      </c>
      <c r="D69" s="19">
        <f t="shared" si="6"/>
        <v>0</v>
      </c>
      <c r="E69" s="44">
        <f t="shared" si="7"/>
        <v>-1329.2899999999936</v>
      </c>
      <c r="F69" s="45">
        <v>29360</v>
      </c>
      <c r="G69" s="45">
        <v>-95250</v>
      </c>
      <c r="H69" s="45" t="s">
        <v>102</v>
      </c>
      <c r="I69" s="45">
        <f t="shared" si="8"/>
        <v>64560.710000000006</v>
      </c>
      <c r="J69" s="45">
        <f t="shared" si="9"/>
        <v>-64560.710000000006</v>
      </c>
      <c r="K69" s="45" t="s">
        <v>130</v>
      </c>
      <c r="L69" s="45">
        <f t="shared" si="10"/>
        <v>0</v>
      </c>
    </row>
    <row r="70" spans="1:12" x14ac:dyDescent="0.25">
      <c r="A70" s="2" t="s">
        <v>57</v>
      </c>
      <c r="B70" s="43">
        <f t="shared" si="4"/>
        <v>175502</v>
      </c>
      <c r="C70" s="11">
        <f t="shared" si="5"/>
        <v>112812.63</v>
      </c>
      <c r="D70" s="19">
        <f t="shared" si="6"/>
        <v>0</v>
      </c>
      <c r="E70" s="44">
        <f t="shared" si="7"/>
        <v>62689.369999999995</v>
      </c>
      <c r="F70" s="45"/>
      <c r="G70" s="45"/>
      <c r="H70" s="45"/>
      <c r="I70" s="45">
        <f t="shared" si="8"/>
        <v>62689.369999999995</v>
      </c>
      <c r="J70" s="45">
        <f t="shared" si="9"/>
        <v>-62689.369999999995</v>
      </c>
      <c r="K70" s="45" t="s">
        <v>130</v>
      </c>
      <c r="L70" s="45">
        <f t="shared" si="10"/>
        <v>0</v>
      </c>
    </row>
    <row r="71" spans="1:12" x14ac:dyDescent="0.25">
      <c r="A71" s="2" t="s">
        <v>91</v>
      </c>
      <c r="B71" s="43">
        <f t="shared" si="4"/>
        <v>16314</v>
      </c>
      <c r="C71" s="11">
        <f t="shared" si="5"/>
        <v>10113.209999999999</v>
      </c>
      <c r="D71" s="19">
        <f t="shared" si="6"/>
        <v>0</v>
      </c>
      <c r="E71" s="44">
        <f t="shared" si="7"/>
        <v>6200.7900000000009</v>
      </c>
      <c r="F71" s="45"/>
      <c r="G71" s="45"/>
      <c r="H71" s="45"/>
      <c r="I71" s="45">
        <f t="shared" si="8"/>
        <v>6200.7900000000009</v>
      </c>
      <c r="J71" s="45">
        <f t="shared" si="9"/>
        <v>-6200.7900000000009</v>
      </c>
      <c r="K71" s="45" t="s">
        <v>130</v>
      </c>
      <c r="L71" s="45">
        <f t="shared" si="10"/>
        <v>0</v>
      </c>
    </row>
    <row r="72" spans="1:12" x14ac:dyDescent="0.25">
      <c r="A72" s="2" t="s">
        <v>92</v>
      </c>
      <c r="B72" s="43">
        <f t="shared" si="4"/>
        <v>261144</v>
      </c>
      <c r="C72" s="11">
        <f t="shared" si="5"/>
        <v>141921.34</v>
      </c>
      <c r="D72" s="19">
        <f t="shared" si="6"/>
        <v>0</v>
      </c>
      <c r="E72" s="44">
        <f t="shared" si="7"/>
        <v>119222.66</v>
      </c>
      <c r="F72" s="45"/>
      <c r="G72" s="45"/>
      <c r="H72" s="45"/>
      <c r="I72" s="45">
        <f t="shared" si="8"/>
        <v>119222.66</v>
      </c>
      <c r="J72" s="45">
        <f t="shared" si="9"/>
        <v>-119222.66</v>
      </c>
      <c r="K72" s="45" t="s">
        <v>130</v>
      </c>
      <c r="L72" s="45">
        <f t="shared" si="10"/>
        <v>0</v>
      </c>
    </row>
    <row r="73" spans="1:12" x14ac:dyDescent="0.25">
      <c r="A73" s="2" t="s">
        <v>64</v>
      </c>
      <c r="B73" s="43">
        <f t="shared" si="4"/>
        <v>0</v>
      </c>
      <c r="C73" s="11">
        <f t="shared" si="5"/>
        <v>0</v>
      </c>
      <c r="D73" s="19">
        <f t="shared" si="6"/>
        <v>0</v>
      </c>
      <c r="E73" s="44">
        <f t="shared" si="7"/>
        <v>0</v>
      </c>
      <c r="F73" s="45"/>
      <c r="G73" s="45"/>
      <c r="H73" s="45"/>
      <c r="I73" s="45">
        <f t="shared" si="8"/>
        <v>0</v>
      </c>
      <c r="J73" s="45">
        <f t="shared" si="9"/>
        <v>0</v>
      </c>
      <c r="K73" s="45" t="s">
        <v>130</v>
      </c>
      <c r="L73" s="45">
        <f t="shared" si="10"/>
        <v>0</v>
      </c>
    </row>
    <row r="74" spans="1:12" x14ac:dyDescent="0.25">
      <c r="A74" s="2" t="s">
        <v>126</v>
      </c>
      <c r="B74" s="43">
        <f t="shared" si="4"/>
        <v>124968</v>
      </c>
      <c r="C74" s="11">
        <f t="shared" si="5"/>
        <v>67535.44</v>
      </c>
      <c r="D74" s="19">
        <f t="shared" si="6"/>
        <v>10500</v>
      </c>
      <c r="E74" s="44">
        <f t="shared" si="7"/>
        <v>46932.56</v>
      </c>
      <c r="F74" s="45"/>
      <c r="G74" s="45"/>
      <c r="H74" s="45"/>
      <c r="I74" s="45">
        <f t="shared" si="8"/>
        <v>57432.56</v>
      </c>
      <c r="J74" s="45">
        <f t="shared" si="9"/>
        <v>-57432.56</v>
      </c>
      <c r="K74" s="45" t="s">
        <v>130</v>
      </c>
      <c r="L74" s="45">
        <f t="shared" si="10"/>
        <v>0</v>
      </c>
    </row>
    <row r="75" spans="1:12" x14ac:dyDescent="0.25">
      <c r="A75" s="2" t="s">
        <v>58</v>
      </c>
      <c r="B75" s="43">
        <f t="shared" si="4"/>
        <v>101218.25</v>
      </c>
      <c r="C75" s="11">
        <f t="shared" si="5"/>
        <v>0</v>
      </c>
      <c r="D75" s="19">
        <f t="shared" si="6"/>
        <v>0</v>
      </c>
      <c r="E75" s="44">
        <f t="shared" si="7"/>
        <v>101218.25</v>
      </c>
      <c r="F75" s="45"/>
      <c r="G75" s="45"/>
      <c r="H75" s="45"/>
      <c r="I75" s="45">
        <f t="shared" si="8"/>
        <v>101218.25</v>
      </c>
      <c r="J75" s="45">
        <v>-855613.81</v>
      </c>
      <c r="K75" s="45" t="s">
        <v>130</v>
      </c>
      <c r="L75" s="45">
        <f t="shared" si="10"/>
        <v>-754395.56</v>
      </c>
    </row>
    <row r="76" spans="1:12" x14ac:dyDescent="0.25">
      <c r="A76" s="2" t="s">
        <v>127</v>
      </c>
      <c r="B76" s="43">
        <f t="shared" si="4"/>
        <v>8939</v>
      </c>
      <c r="C76" s="11">
        <f t="shared" si="5"/>
        <v>0</v>
      </c>
      <c r="D76" s="19">
        <f t="shared" si="6"/>
        <v>0</v>
      </c>
      <c r="E76" s="44">
        <f t="shared" si="7"/>
        <v>8939</v>
      </c>
      <c r="F76" s="45"/>
      <c r="G76" s="45"/>
      <c r="H76" s="45"/>
      <c r="I76" s="45">
        <f t="shared" si="8"/>
        <v>8939</v>
      </c>
      <c r="J76" s="45">
        <f t="shared" si="9"/>
        <v>-8939</v>
      </c>
      <c r="K76" s="45" t="s">
        <v>130</v>
      </c>
      <c r="L76" s="45">
        <f t="shared" si="10"/>
        <v>0</v>
      </c>
    </row>
    <row r="77" spans="1:12" x14ac:dyDescent="0.25">
      <c r="A77" s="2" t="s">
        <v>128</v>
      </c>
      <c r="B77" s="43">
        <f t="shared" si="4"/>
        <v>18129</v>
      </c>
      <c r="C77" s="11">
        <f t="shared" si="5"/>
        <v>0</v>
      </c>
      <c r="D77" s="19">
        <f t="shared" si="6"/>
        <v>0</v>
      </c>
      <c r="E77" s="44">
        <f t="shared" si="7"/>
        <v>18129</v>
      </c>
      <c r="F77" s="45"/>
      <c r="G77" s="45"/>
      <c r="H77" s="45"/>
      <c r="I77" s="45">
        <f t="shared" si="8"/>
        <v>18129</v>
      </c>
      <c r="J77" s="45">
        <f t="shared" si="9"/>
        <v>-18129</v>
      </c>
      <c r="K77" s="45" t="s">
        <v>130</v>
      </c>
      <c r="L77" s="45">
        <f t="shared" si="10"/>
        <v>0</v>
      </c>
    </row>
    <row r="78" spans="1:12" x14ac:dyDescent="0.25">
      <c r="A78" s="80" t="s">
        <v>94</v>
      </c>
      <c r="B78" s="46">
        <f>G25</f>
        <v>-1536395</v>
      </c>
      <c r="C78" s="11">
        <f>H25</f>
        <v>-1140859.42</v>
      </c>
      <c r="D78" s="19">
        <v>0</v>
      </c>
      <c r="E78" s="44">
        <f t="shared" si="7"/>
        <v>-395535.58000000007</v>
      </c>
      <c r="F78" s="45"/>
      <c r="G78" s="45"/>
      <c r="H78" s="45"/>
      <c r="I78" s="45">
        <f t="shared" si="8"/>
        <v>-395535.58000000007</v>
      </c>
      <c r="J78" s="45">
        <f t="shared" si="9"/>
        <v>395535.58000000007</v>
      </c>
      <c r="K78" s="45" t="s">
        <v>130</v>
      </c>
      <c r="L78" s="45">
        <f t="shared" si="10"/>
        <v>0</v>
      </c>
    </row>
    <row r="79" spans="1:12" x14ac:dyDescent="0.25">
      <c r="A79" s="80" t="s">
        <v>96</v>
      </c>
      <c r="B79" s="46">
        <f>G18</f>
        <v>-8766135</v>
      </c>
      <c r="C79" s="11">
        <f>H18</f>
        <v>-7230427.2699999996</v>
      </c>
      <c r="D79" s="19">
        <v>0</v>
      </c>
      <c r="E79" s="44">
        <f t="shared" si="7"/>
        <v>-1535707.7300000004</v>
      </c>
      <c r="F79" s="45"/>
      <c r="G79" s="45"/>
      <c r="H79" s="45"/>
      <c r="I79" s="45">
        <f t="shared" si="8"/>
        <v>-1535707.7300000004</v>
      </c>
      <c r="J79" s="45">
        <f t="shared" si="9"/>
        <v>1535707.7300000004</v>
      </c>
      <c r="K79" s="45" t="s">
        <v>130</v>
      </c>
      <c r="L79" s="45">
        <f t="shared" si="10"/>
        <v>0</v>
      </c>
    </row>
    <row r="80" spans="1:12" ht="13.8" thickBot="1" x14ac:dyDescent="0.3">
      <c r="A80" s="47" t="s">
        <v>129</v>
      </c>
      <c r="B80" s="44">
        <f>G19</f>
        <v>0</v>
      </c>
      <c r="C80" s="11">
        <f>H19</f>
        <v>-207.2</v>
      </c>
      <c r="D80" s="19">
        <v>0</v>
      </c>
      <c r="E80" s="44">
        <f t="shared" si="7"/>
        <v>207.2</v>
      </c>
      <c r="F80" s="45"/>
      <c r="G80" s="45"/>
      <c r="H80" s="45"/>
      <c r="I80" s="45">
        <f t="shared" si="8"/>
        <v>207.2</v>
      </c>
      <c r="J80" s="45">
        <f t="shared" si="9"/>
        <v>-207.2</v>
      </c>
      <c r="K80" s="45" t="s">
        <v>130</v>
      </c>
      <c r="L80" s="45">
        <f t="shared" si="10"/>
        <v>0</v>
      </c>
    </row>
    <row r="81" spans="1:12" ht="13.8" thickBot="1" x14ac:dyDescent="0.3">
      <c r="A81" s="25" t="s">
        <v>59</v>
      </c>
      <c r="B81" s="50">
        <f t="shared" ref="B81:L81" si="11">SUM(B58:B80)</f>
        <v>-36809.75</v>
      </c>
      <c r="C81" s="50">
        <f t="shared" si="11"/>
        <v>635545.28000000049</v>
      </c>
      <c r="D81" s="50">
        <f t="shared" si="11"/>
        <v>10500</v>
      </c>
      <c r="E81" s="50">
        <f t="shared" si="11"/>
        <v>-682855.03</v>
      </c>
      <c r="F81" s="50">
        <f t="shared" si="11"/>
        <v>35641</v>
      </c>
      <c r="G81" s="50">
        <f t="shared" si="11"/>
        <v>-95250</v>
      </c>
      <c r="H81" s="50">
        <f t="shared" si="11"/>
        <v>0</v>
      </c>
      <c r="I81" s="50">
        <f t="shared" si="11"/>
        <v>-612746.03</v>
      </c>
      <c r="J81" s="50">
        <f t="shared" si="11"/>
        <v>-4.6554760047001764E-11</v>
      </c>
      <c r="K81" s="50">
        <f t="shared" si="11"/>
        <v>0</v>
      </c>
      <c r="L81" s="50">
        <f t="shared" si="11"/>
        <v>-754395.56</v>
      </c>
    </row>
    <row r="82" spans="1:12" x14ac:dyDescent="0.25">
      <c r="J82" s="1" t="s">
        <v>109</v>
      </c>
      <c r="L82" s="1" t="s">
        <v>108</v>
      </c>
    </row>
    <row r="83" spans="1:12" x14ac:dyDescent="0.25">
      <c r="A83" s="17" t="s">
        <v>60</v>
      </c>
      <c r="G83" s="18"/>
      <c r="H83" s="18"/>
      <c r="I83" s="18"/>
    </row>
    <row r="84" spans="1:12" x14ac:dyDescent="0.25">
      <c r="A84" s="17" t="s">
        <v>133</v>
      </c>
      <c r="G84" s="18"/>
      <c r="H84" s="46"/>
      <c r="I84" s="46"/>
    </row>
    <row r="85" spans="1:12" x14ac:dyDescent="0.25">
      <c r="A85" s="17" t="s">
        <v>80</v>
      </c>
      <c r="G85" s="18"/>
      <c r="H85" s="46"/>
      <c r="I85" s="46"/>
    </row>
    <row r="86" spans="1:12" x14ac:dyDescent="0.25">
      <c r="A86" s="17" t="s">
        <v>111</v>
      </c>
      <c r="G86" s="18"/>
      <c r="H86" s="46"/>
      <c r="I86" s="46"/>
    </row>
    <row r="87" spans="1:12" x14ac:dyDescent="0.25">
      <c r="A87" s="17" t="s">
        <v>136</v>
      </c>
      <c r="F87" s="18"/>
      <c r="G87" s="18"/>
      <c r="H87" s="18"/>
    </row>
    <row r="88" spans="1:12" x14ac:dyDescent="0.25">
      <c r="A88" s="17" t="s">
        <v>135</v>
      </c>
      <c r="F88" s="67"/>
      <c r="G88" s="46"/>
      <c r="H88" s="18"/>
    </row>
    <row r="89" spans="1:12" x14ac:dyDescent="0.25">
      <c r="A89" s="17" t="s">
        <v>77</v>
      </c>
      <c r="F89" s="68"/>
      <c r="G89" s="46"/>
      <c r="H89" s="18"/>
    </row>
    <row r="90" spans="1:12" x14ac:dyDescent="0.25">
      <c r="A90" s="17" t="s">
        <v>61</v>
      </c>
      <c r="F90" s="67"/>
      <c r="G90" s="46"/>
      <c r="H90" s="18"/>
    </row>
    <row r="91" spans="1:12" ht="13.8" thickBot="1" x14ac:dyDescent="0.3"/>
    <row r="92" spans="1:12" ht="13.8" thickBot="1" x14ac:dyDescent="0.3">
      <c r="B92" s="98" t="s">
        <v>83</v>
      </c>
      <c r="C92" s="99"/>
    </row>
    <row r="93" spans="1:12" ht="26.4" x14ac:dyDescent="0.25">
      <c r="B93" s="101" t="s">
        <v>140</v>
      </c>
      <c r="C93" s="102">
        <v>101218.25</v>
      </c>
    </row>
    <row r="94" spans="1:12" ht="26.4" x14ac:dyDescent="0.25">
      <c r="B94" s="103" t="s">
        <v>141</v>
      </c>
      <c r="C94" s="104">
        <v>-855613.81</v>
      </c>
    </row>
    <row r="95" spans="1:12" ht="27" thickBot="1" x14ac:dyDescent="0.3">
      <c r="B95" s="105" t="s">
        <v>142</v>
      </c>
      <c r="C95" s="100">
        <f>SUM(C93:C94)</f>
        <v>-754395.56</v>
      </c>
      <c r="D95" t="s">
        <v>134</v>
      </c>
    </row>
  </sheetData>
  <mergeCells count="1">
    <mergeCell ref="F54:H54"/>
  </mergeCells>
  <phoneticPr fontId="0" type="noConversion"/>
  <pageMargins left="0.31" right="0.28999999999999998" top="0.39" bottom="0.56000000000000005" header="0.3" footer="0.3"/>
  <pageSetup scale="47" orientation="landscape" horizontalDpi="1200" verticalDpi="1200" r:id="rId1"/>
  <headerFooter alignWithMargins="0">
    <oddFooter>&amp;L&amp;F&amp;C&amp;A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selection activeCell="J3" sqref="J3"/>
    </sheetView>
  </sheetViews>
  <sheetFormatPr defaultRowHeight="13.2" x14ac:dyDescent="0.25"/>
  <cols>
    <col min="1" max="1" width="10.5546875" customWidth="1"/>
    <col min="2" max="2" width="19.6640625" customWidth="1"/>
    <col min="3" max="3" width="11.88671875" customWidth="1"/>
    <col min="4" max="4" width="38.33203125" customWidth="1"/>
    <col min="5" max="5" width="2.109375" customWidth="1"/>
    <col min="6" max="6" width="27.33203125" customWidth="1"/>
    <col min="7" max="7" width="14.44140625" customWidth="1"/>
    <col min="8" max="8" width="14.88671875" customWidth="1"/>
    <col min="9" max="9" width="14.6640625" customWidth="1"/>
    <col min="10" max="10" width="17.33203125" bestFit="1" customWidth="1"/>
    <col min="11" max="11" width="19.44140625" bestFit="1" customWidth="1"/>
    <col min="12" max="12" width="19.33203125" style="18" customWidth="1"/>
  </cols>
  <sheetData>
    <row r="1" spans="1:12" x14ac:dyDescent="0.25">
      <c r="E1" s="1" t="s">
        <v>0</v>
      </c>
      <c r="J1" t="s">
        <v>1</v>
      </c>
    </row>
    <row r="2" spans="1:12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  <c r="J2" s="96" t="s">
        <v>145</v>
      </c>
      <c r="K2" s="2"/>
      <c r="L2" s="8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 t="s">
        <v>4</v>
      </c>
      <c r="K3" s="2"/>
      <c r="L3" s="8"/>
    </row>
    <row r="4" spans="1:12" x14ac:dyDescent="0.25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8"/>
    </row>
    <row r="5" spans="1:12" x14ac:dyDescent="0.25">
      <c r="A5" s="2"/>
      <c r="B5" s="2" t="s">
        <v>6</v>
      </c>
      <c r="C5" s="3" t="s">
        <v>7</v>
      </c>
      <c r="D5" s="2"/>
      <c r="E5" s="2"/>
      <c r="F5" s="2"/>
      <c r="G5" s="2"/>
      <c r="H5" s="2"/>
      <c r="I5" s="2"/>
      <c r="J5" s="2"/>
      <c r="K5" s="2"/>
      <c r="L5" s="8"/>
    </row>
    <row r="6" spans="1:12" x14ac:dyDescent="0.25">
      <c r="A6" s="2"/>
      <c r="B6" s="2" t="s">
        <v>8</v>
      </c>
      <c r="C6" s="2" t="s">
        <v>65</v>
      </c>
      <c r="D6" s="2"/>
      <c r="E6" s="2"/>
      <c r="F6" s="2"/>
      <c r="G6" s="2"/>
      <c r="H6" s="2"/>
      <c r="I6" s="2"/>
      <c r="J6" s="2"/>
      <c r="K6" s="2"/>
      <c r="L6" s="8"/>
    </row>
    <row r="7" spans="1:12" x14ac:dyDescent="0.25">
      <c r="A7" s="2"/>
      <c r="B7" s="96" t="s">
        <v>137</v>
      </c>
      <c r="C7" s="2" t="s">
        <v>103</v>
      </c>
      <c r="D7" s="2"/>
      <c r="E7" s="2"/>
      <c r="F7" s="2"/>
      <c r="G7" s="2"/>
      <c r="H7" s="2"/>
      <c r="I7" s="2"/>
      <c r="J7" s="2"/>
      <c r="K7" s="2"/>
      <c r="L7" s="8"/>
    </row>
    <row r="8" spans="1:12" x14ac:dyDescent="0.25">
      <c r="A8" s="2"/>
      <c r="B8" s="2" t="s">
        <v>9</v>
      </c>
      <c r="C8" s="2" t="s">
        <v>104</v>
      </c>
      <c r="D8" s="2"/>
      <c r="E8" s="2"/>
      <c r="F8" s="2"/>
      <c r="G8" s="2"/>
      <c r="H8" s="2"/>
      <c r="I8" s="2"/>
      <c r="J8" s="2"/>
      <c r="K8" s="2"/>
      <c r="L8" s="8"/>
    </row>
    <row r="9" spans="1:12" x14ac:dyDescent="0.25">
      <c r="A9" s="2"/>
      <c r="B9" s="2" t="s">
        <v>10</v>
      </c>
      <c r="C9" s="2"/>
      <c r="D9" s="2"/>
      <c r="E9" s="2"/>
      <c r="F9" s="2"/>
      <c r="G9" s="2"/>
      <c r="H9" s="2"/>
      <c r="I9" s="2"/>
      <c r="J9" s="2"/>
      <c r="K9" s="2"/>
      <c r="L9" s="8"/>
    </row>
    <row r="10" spans="1:12" x14ac:dyDescent="0.25">
      <c r="A10" s="2"/>
      <c r="B10" s="2" t="s">
        <v>105</v>
      </c>
      <c r="C10" s="2"/>
      <c r="D10" s="2"/>
      <c r="E10" s="2"/>
      <c r="F10" s="2"/>
      <c r="G10" s="2"/>
      <c r="H10" s="2"/>
      <c r="I10" s="2"/>
      <c r="J10" s="2"/>
      <c r="K10" s="2"/>
      <c r="L10" s="8"/>
    </row>
    <row r="11" spans="1:12" x14ac:dyDescent="0.25">
      <c r="A11" s="2"/>
      <c r="B11" s="2" t="s">
        <v>11</v>
      </c>
      <c r="C11" s="2"/>
      <c r="D11" s="2"/>
      <c r="E11" s="2"/>
      <c r="F11" s="2"/>
      <c r="G11" s="2"/>
      <c r="H11" s="2"/>
      <c r="I11" s="2"/>
      <c r="J11" s="2"/>
      <c r="K11" s="2"/>
      <c r="L11" s="8"/>
    </row>
    <row r="12" spans="1:12" x14ac:dyDescent="0.25">
      <c r="A12" s="2"/>
      <c r="B12" s="2" t="s">
        <v>112</v>
      </c>
      <c r="C12" s="2"/>
      <c r="D12" s="2"/>
      <c r="E12" s="2"/>
      <c r="F12" s="2"/>
      <c r="G12" s="2"/>
      <c r="H12" s="2"/>
      <c r="I12" s="2"/>
      <c r="J12" s="2"/>
      <c r="K12" s="2"/>
      <c r="L12" s="8"/>
    </row>
    <row r="13" spans="1:12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8"/>
    </row>
    <row r="14" spans="1:12" x14ac:dyDescent="0.25">
      <c r="A14" s="2"/>
      <c r="B14" s="2"/>
      <c r="D14" s="2" t="s">
        <v>12</v>
      </c>
      <c r="E14" s="2"/>
      <c r="F14" s="4" t="s">
        <v>13</v>
      </c>
      <c r="G14" s="4" t="s">
        <v>14</v>
      </c>
      <c r="H14" s="4"/>
      <c r="I14" s="4"/>
      <c r="J14" s="4"/>
      <c r="K14" s="4" t="s">
        <v>15</v>
      </c>
      <c r="L14" s="9"/>
    </row>
    <row r="15" spans="1:12" x14ac:dyDescent="0.25">
      <c r="A15" s="3" t="s">
        <v>16</v>
      </c>
      <c r="B15" s="3" t="s">
        <v>17</v>
      </c>
      <c r="D15" s="3" t="s">
        <v>18</v>
      </c>
      <c r="E15" s="2"/>
      <c r="F15" s="5" t="s">
        <v>12</v>
      </c>
      <c r="G15" s="5" t="s">
        <v>12</v>
      </c>
      <c r="H15" s="6" t="s">
        <v>19</v>
      </c>
      <c r="I15" s="7" t="s">
        <v>20</v>
      </c>
      <c r="J15" s="5" t="s">
        <v>21</v>
      </c>
      <c r="K15" s="6" t="s">
        <v>22</v>
      </c>
      <c r="L15" s="34"/>
    </row>
    <row r="16" spans="1:12" x14ac:dyDescent="0.25">
      <c r="A16" s="3"/>
      <c r="B16" s="3"/>
      <c r="D16" s="3"/>
      <c r="E16" s="2"/>
      <c r="F16" s="9"/>
      <c r="G16" s="9"/>
      <c r="H16" s="34"/>
      <c r="I16" s="82"/>
      <c r="J16" s="9"/>
      <c r="K16" s="34"/>
    </row>
    <row r="17" spans="1:12" x14ac:dyDescent="0.25">
      <c r="A17" s="13" t="s">
        <v>90</v>
      </c>
      <c r="B17" s="2"/>
      <c r="C17" s="2"/>
      <c r="D17" s="2"/>
      <c r="E17" s="2"/>
      <c r="F17" s="2"/>
      <c r="G17" s="2"/>
      <c r="I17" s="2"/>
      <c r="J17" s="2"/>
      <c r="L17" s="8"/>
    </row>
    <row r="18" spans="1:12" x14ac:dyDescent="0.25">
      <c r="A18" s="9">
        <v>20</v>
      </c>
      <c r="B18">
        <v>70050</v>
      </c>
      <c r="C18" s="8" t="s">
        <v>84</v>
      </c>
      <c r="D18" s="10" t="s">
        <v>98</v>
      </c>
      <c r="F18" s="94">
        <v>-8498720</v>
      </c>
      <c r="G18" s="94">
        <f>-8766135+1535707.73</f>
        <v>-7230427.2699999996</v>
      </c>
      <c r="H18" s="94">
        <f>-7104439.75-125987.52</f>
        <v>-7230427.2699999996</v>
      </c>
      <c r="I18" s="94">
        <f>G18-H18</f>
        <v>0</v>
      </c>
      <c r="J18" s="94">
        <v>0</v>
      </c>
      <c r="K18" s="94">
        <f>I18-J18</f>
        <v>0</v>
      </c>
      <c r="L18" s="90"/>
    </row>
    <row r="19" spans="1:12" x14ac:dyDescent="0.25">
      <c r="A19" s="9">
        <v>20</v>
      </c>
      <c r="B19">
        <v>70050</v>
      </c>
      <c r="C19" s="8" t="s">
        <v>84</v>
      </c>
      <c r="D19" s="10" t="s">
        <v>114</v>
      </c>
      <c r="F19" s="94">
        <v>0</v>
      </c>
      <c r="G19" s="94">
        <v>-207.2</v>
      </c>
      <c r="H19" s="94">
        <f>-272.52+65.32</f>
        <v>-207.2</v>
      </c>
      <c r="I19" s="94">
        <f>G19-H19</f>
        <v>0</v>
      </c>
      <c r="J19" s="94">
        <v>0</v>
      </c>
      <c r="K19" s="94">
        <f>I19-J19</f>
        <v>0</v>
      </c>
      <c r="L19" s="91"/>
    </row>
    <row r="20" spans="1:12" ht="13.8" x14ac:dyDescent="0.3">
      <c r="A20" s="12" t="s">
        <v>99</v>
      </c>
      <c r="B20" s="81"/>
      <c r="C20" s="2"/>
      <c r="D20" s="10"/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0</v>
      </c>
      <c r="L20" s="92"/>
    </row>
    <row r="21" spans="1:12" x14ac:dyDescent="0.25">
      <c r="A21" s="12" t="s">
        <v>100</v>
      </c>
      <c r="B21" s="2"/>
      <c r="C21" s="2"/>
      <c r="D21" s="10"/>
      <c r="F21" s="94">
        <f t="shared" ref="F21:K21" si="0">SUM(F18:F19)</f>
        <v>-8498720</v>
      </c>
      <c r="G21" s="94">
        <f t="shared" si="0"/>
        <v>-7230634.4699999997</v>
      </c>
      <c r="H21" s="94">
        <f t="shared" si="0"/>
        <v>-7230634.4699999997</v>
      </c>
      <c r="I21" s="94">
        <f t="shared" si="0"/>
        <v>0</v>
      </c>
      <c r="J21" s="94">
        <f t="shared" si="0"/>
        <v>0</v>
      </c>
      <c r="K21" s="94">
        <f t="shared" si="0"/>
        <v>0</v>
      </c>
      <c r="L21" s="92"/>
    </row>
    <row r="22" spans="1:12" x14ac:dyDescent="0.25">
      <c r="A22" s="2"/>
      <c r="B22" s="2"/>
      <c r="C22" s="2"/>
      <c r="D22" s="2"/>
      <c r="E22" s="2"/>
      <c r="F22" s="95"/>
      <c r="G22" s="95"/>
      <c r="H22" s="44"/>
      <c r="I22" s="95"/>
      <c r="J22" s="95"/>
      <c r="K22" s="44"/>
      <c r="L22" s="92"/>
    </row>
    <row r="23" spans="1:12" x14ac:dyDescent="0.25">
      <c r="A23" s="2"/>
      <c r="B23" s="2"/>
      <c r="C23" s="2"/>
      <c r="D23" s="2"/>
      <c r="E23" s="2"/>
      <c r="F23" s="95"/>
      <c r="G23" s="95"/>
      <c r="H23" s="44"/>
      <c r="I23" s="95"/>
      <c r="J23" s="95"/>
      <c r="K23" s="44"/>
      <c r="L23" s="92"/>
    </row>
    <row r="24" spans="1:12" x14ac:dyDescent="0.25">
      <c r="A24" s="13" t="s">
        <v>90</v>
      </c>
      <c r="B24" s="2"/>
      <c r="C24" s="2"/>
      <c r="D24" s="2"/>
      <c r="E24" s="2"/>
      <c r="F24" s="95"/>
      <c r="G24" s="95"/>
      <c r="H24" s="95"/>
      <c r="I24" s="95"/>
      <c r="J24" s="95"/>
      <c r="K24" s="95"/>
      <c r="L24" s="92"/>
    </row>
    <row r="25" spans="1:12" x14ac:dyDescent="0.25">
      <c r="A25" s="9">
        <v>76</v>
      </c>
      <c r="B25">
        <v>70050</v>
      </c>
      <c r="C25" s="8" t="s">
        <v>84</v>
      </c>
      <c r="D25" s="14" t="s">
        <v>85</v>
      </c>
      <c r="F25" s="94">
        <v>-1572311</v>
      </c>
      <c r="G25" s="94">
        <f>-1536395+395535.58</f>
        <v>-1140859.42</v>
      </c>
      <c r="H25" s="94">
        <f>-24356.92+-1116502.5</f>
        <v>-1140859.42</v>
      </c>
      <c r="I25" s="94">
        <f>G25-H25</f>
        <v>0</v>
      </c>
      <c r="J25" s="94">
        <v>0</v>
      </c>
      <c r="K25" s="94">
        <f>I25-J25</f>
        <v>0</v>
      </c>
      <c r="L25" s="92"/>
    </row>
    <row r="26" spans="1:12" x14ac:dyDescent="0.25">
      <c r="A26" s="9">
        <v>76</v>
      </c>
      <c r="B26">
        <v>70050</v>
      </c>
      <c r="C26" s="8" t="s">
        <v>84</v>
      </c>
      <c r="D26" s="2" t="s">
        <v>23</v>
      </c>
      <c r="F26" s="94">
        <v>984613</v>
      </c>
      <c r="G26" s="94">
        <f>1055815-305086.69</f>
        <v>750728.31</v>
      </c>
      <c r="H26" s="94">
        <f>680131.52+67995.79+2601</f>
        <v>750728.31</v>
      </c>
      <c r="I26" s="94">
        <f t="shared" ref="I26:I45" si="1">G26-H26</f>
        <v>0</v>
      </c>
      <c r="J26" s="94">
        <v>0</v>
      </c>
      <c r="K26" s="94">
        <f t="shared" ref="K26:K45" si="2">I26-J26</f>
        <v>0</v>
      </c>
      <c r="L26" s="92"/>
    </row>
    <row r="27" spans="1:12" x14ac:dyDescent="0.25">
      <c r="A27" s="9">
        <v>76</v>
      </c>
      <c r="B27">
        <v>70050</v>
      </c>
      <c r="C27" s="8" t="s">
        <v>84</v>
      </c>
      <c r="D27" s="2" t="s">
        <v>115</v>
      </c>
      <c r="F27" s="94">
        <v>13050</v>
      </c>
      <c r="G27" s="94">
        <f>12000-4844.19</f>
        <v>7155.81</v>
      </c>
      <c r="H27" s="94">
        <f>6424.92+650.89+80</f>
        <v>7155.81</v>
      </c>
      <c r="I27" s="94">
        <f t="shared" si="1"/>
        <v>0</v>
      </c>
      <c r="J27" s="94">
        <v>0</v>
      </c>
      <c r="K27" s="94">
        <f t="shared" si="2"/>
        <v>0</v>
      </c>
      <c r="L27" s="92"/>
    </row>
    <row r="28" spans="1:12" x14ac:dyDescent="0.25">
      <c r="A28" s="9">
        <v>76</v>
      </c>
      <c r="B28">
        <v>70050</v>
      </c>
      <c r="C28" s="8" t="s">
        <v>84</v>
      </c>
      <c r="D28" s="2" t="s">
        <v>116</v>
      </c>
      <c r="F28" s="94">
        <v>200</v>
      </c>
      <c r="G28" s="94">
        <f>200-200</f>
        <v>0</v>
      </c>
      <c r="H28" s="94">
        <v>0</v>
      </c>
      <c r="I28" s="94">
        <f t="shared" si="1"/>
        <v>0</v>
      </c>
      <c r="J28" s="94">
        <v>0</v>
      </c>
      <c r="K28" s="94">
        <f t="shared" si="2"/>
        <v>0</v>
      </c>
      <c r="L28" s="92"/>
    </row>
    <row r="29" spans="1:12" x14ac:dyDescent="0.25">
      <c r="A29" s="9">
        <v>76</v>
      </c>
      <c r="B29">
        <v>70050</v>
      </c>
      <c r="C29" s="8" t="s">
        <v>84</v>
      </c>
      <c r="D29" s="2" t="s">
        <v>24</v>
      </c>
      <c r="F29" s="94">
        <v>327119</v>
      </c>
      <c r="G29" s="94">
        <f>363597-141649.53</f>
        <v>221947.47</v>
      </c>
      <c r="H29" s="94">
        <f>203382.49+18564.98</f>
        <v>221947.47</v>
      </c>
      <c r="I29" s="94">
        <f t="shared" si="1"/>
        <v>0</v>
      </c>
      <c r="J29" s="94">
        <v>0</v>
      </c>
      <c r="K29" s="94">
        <f t="shared" si="2"/>
        <v>0</v>
      </c>
      <c r="L29" s="92"/>
    </row>
    <row r="30" spans="1:12" x14ac:dyDescent="0.25">
      <c r="A30" s="9">
        <v>76</v>
      </c>
      <c r="B30">
        <v>70050</v>
      </c>
      <c r="C30" s="8" t="s">
        <v>84</v>
      </c>
      <c r="D30" s="2" t="s">
        <v>122</v>
      </c>
      <c r="F30" s="94">
        <v>0</v>
      </c>
      <c r="G30" s="94">
        <v>188.58</v>
      </c>
      <c r="H30" s="94">
        <v>188.58</v>
      </c>
      <c r="I30" s="94">
        <f t="shared" si="1"/>
        <v>0</v>
      </c>
      <c r="J30" s="94">
        <v>0</v>
      </c>
      <c r="K30" s="94">
        <f t="shared" si="2"/>
        <v>0</v>
      </c>
      <c r="L30" s="92"/>
    </row>
    <row r="31" spans="1:12" x14ac:dyDescent="0.25">
      <c r="A31" s="9">
        <v>76</v>
      </c>
      <c r="B31">
        <v>70050</v>
      </c>
      <c r="C31" s="8" t="s">
        <v>84</v>
      </c>
      <c r="D31" s="2" t="s">
        <v>25</v>
      </c>
      <c r="F31" s="94">
        <v>5900</v>
      </c>
      <c r="G31" s="94">
        <f>5900-5685.79</f>
        <v>214.21000000000004</v>
      </c>
      <c r="H31" s="94">
        <v>214.21</v>
      </c>
      <c r="I31" s="94">
        <f t="shared" si="1"/>
        <v>0</v>
      </c>
      <c r="J31" s="94">
        <v>0</v>
      </c>
      <c r="K31" s="94">
        <f t="shared" si="2"/>
        <v>0</v>
      </c>
      <c r="L31" s="92"/>
    </row>
    <row r="32" spans="1:12" x14ac:dyDescent="0.25">
      <c r="A32" s="9">
        <v>76</v>
      </c>
      <c r="B32">
        <v>70050</v>
      </c>
      <c r="C32" s="8" t="s">
        <v>84</v>
      </c>
      <c r="D32" s="2" t="s">
        <v>26</v>
      </c>
      <c r="F32" s="94">
        <v>7177473</v>
      </c>
      <c r="G32" s="94">
        <f>7484693-211111.06</f>
        <v>7273581.9400000004</v>
      </c>
      <c r="H32" s="94">
        <f>7204192.42+65789.52+3600</f>
        <v>7273581.9399999995</v>
      </c>
      <c r="I32" s="94">
        <f t="shared" si="1"/>
        <v>0</v>
      </c>
      <c r="J32" s="94">
        <v>0</v>
      </c>
      <c r="K32" s="94">
        <f t="shared" si="2"/>
        <v>0</v>
      </c>
      <c r="L32" s="92"/>
    </row>
    <row r="33" spans="1:12" x14ac:dyDescent="0.25">
      <c r="A33" s="9">
        <v>76</v>
      </c>
      <c r="B33">
        <v>70050</v>
      </c>
      <c r="C33" s="8" t="s">
        <v>84</v>
      </c>
      <c r="D33" s="2" t="s">
        <v>27</v>
      </c>
      <c r="F33" s="94">
        <v>251165</v>
      </c>
      <c r="G33" s="94">
        <f>244601-75015.06</f>
        <v>169585.94</v>
      </c>
      <c r="H33" s="94">
        <f>155460.52+14125.42</f>
        <v>169585.94</v>
      </c>
      <c r="I33" s="94">
        <f t="shared" si="1"/>
        <v>0</v>
      </c>
      <c r="J33" s="94">
        <v>0</v>
      </c>
      <c r="K33" s="94">
        <f t="shared" si="2"/>
        <v>0</v>
      </c>
      <c r="L33" s="92"/>
    </row>
    <row r="34" spans="1:12" x14ac:dyDescent="0.25">
      <c r="A34" s="9">
        <v>76</v>
      </c>
      <c r="B34">
        <v>70050</v>
      </c>
      <c r="C34" s="8" t="s">
        <v>84</v>
      </c>
      <c r="D34" s="2" t="s">
        <v>28</v>
      </c>
      <c r="F34" s="94">
        <v>312200</v>
      </c>
      <c r="G34" s="94">
        <f>307404-127144.93</f>
        <v>180259.07</v>
      </c>
      <c r="H34" s="94">
        <f>163735.95+16523.12</f>
        <v>180259.07</v>
      </c>
      <c r="I34" s="94">
        <f t="shared" si="1"/>
        <v>0</v>
      </c>
      <c r="J34" s="94">
        <v>0</v>
      </c>
      <c r="K34" s="94">
        <f t="shared" si="2"/>
        <v>0</v>
      </c>
      <c r="L34" s="92"/>
    </row>
    <row r="35" spans="1:12" x14ac:dyDescent="0.25">
      <c r="A35" s="9">
        <v>76</v>
      </c>
      <c r="B35">
        <v>70050</v>
      </c>
      <c r="C35" s="8" t="s">
        <v>84</v>
      </c>
      <c r="D35" s="2" t="s">
        <v>29</v>
      </c>
      <c r="F35" s="94">
        <v>18300</v>
      </c>
      <c r="G35" s="94">
        <f>17100-1285.55</f>
        <v>15814.45</v>
      </c>
      <c r="H35" s="94">
        <f>14618.83+1195.62</f>
        <v>15814.45</v>
      </c>
      <c r="I35" s="94">
        <f t="shared" si="1"/>
        <v>0</v>
      </c>
      <c r="J35" s="94">
        <v>0</v>
      </c>
      <c r="K35" s="94">
        <f t="shared" si="2"/>
        <v>0</v>
      </c>
      <c r="L35" s="92"/>
    </row>
    <row r="36" spans="1:12" x14ac:dyDescent="0.25">
      <c r="A36" s="9">
        <v>76</v>
      </c>
      <c r="B36">
        <v>70050</v>
      </c>
      <c r="C36" s="8" t="s">
        <v>84</v>
      </c>
      <c r="D36" s="2" t="s">
        <v>30</v>
      </c>
      <c r="F36" s="94">
        <v>27775</v>
      </c>
      <c r="G36" s="94">
        <f>28696-8063.52</f>
        <v>20632.48</v>
      </c>
      <c r="H36" s="94">
        <f>18786.94+1845.54</f>
        <v>20632.48</v>
      </c>
      <c r="I36" s="94">
        <f t="shared" si="1"/>
        <v>0</v>
      </c>
      <c r="J36" s="94">
        <v>0</v>
      </c>
      <c r="K36" s="94">
        <f t="shared" si="2"/>
        <v>0</v>
      </c>
      <c r="L36" s="92"/>
    </row>
    <row r="37" spans="1:12" x14ac:dyDescent="0.25">
      <c r="A37" s="9">
        <v>76</v>
      </c>
      <c r="B37">
        <v>70050</v>
      </c>
      <c r="C37" s="8" t="s">
        <v>84</v>
      </c>
      <c r="D37" s="2" t="s">
        <v>31</v>
      </c>
      <c r="F37" s="94">
        <v>33500</v>
      </c>
      <c r="G37" s="94">
        <f>39500-64560.71</f>
        <v>-25060.71</v>
      </c>
      <c r="H37" s="94">
        <f>35207.77+5621.52+29360-95250</f>
        <v>-25060.710000000006</v>
      </c>
      <c r="I37" s="94">
        <f t="shared" si="1"/>
        <v>0</v>
      </c>
      <c r="J37" s="94">
        <v>0</v>
      </c>
      <c r="K37" s="94">
        <f t="shared" si="2"/>
        <v>0</v>
      </c>
      <c r="L37" s="92"/>
    </row>
    <row r="38" spans="1:12" x14ac:dyDescent="0.25">
      <c r="A38" s="9">
        <v>76</v>
      </c>
      <c r="B38">
        <v>70050</v>
      </c>
      <c r="C38" s="8" t="s">
        <v>84</v>
      </c>
      <c r="D38" s="2" t="s">
        <v>32</v>
      </c>
      <c r="F38" s="94">
        <v>177700</v>
      </c>
      <c r="G38" s="94">
        <f>175502-62689.37</f>
        <v>112812.63</v>
      </c>
      <c r="H38" s="94">
        <f>104249.38+8563.25</f>
        <v>112812.63</v>
      </c>
      <c r="I38" s="94">
        <f t="shared" si="1"/>
        <v>0</v>
      </c>
      <c r="J38" s="94">
        <v>0</v>
      </c>
      <c r="K38" s="94">
        <f t="shared" si="2"/>
        <v>0</v>
      </c>
      <c r="L38" s="92"/>
    </row>
    <row r="39" spans="1:12" x14ac:dyDescent="0.25">
      <c r="A39" s="9">
        <v>76</v>
      </c>
      <c r="B39">
        <v>70050</v>
      </c>
      <c r="C39" s="8" t="s">
        <v>84</v>
      </c>
      <c r="D39" s="2" t="s">
        <v>86</v>
      </c>
      <c r="F39" s="94">
        <v>13179</v>
      </c>
      <c r="G39" s="94">
        <f>16314-6200.79</f>
        <v>10113.209999999999</v>
      </c>
      <c r="H39" s="94">
        <f>9193.91+919.3</f>
        <v>10113.209999999999</v>
      </c>
      <c r="I39" s="94">
        <f t="shared" si="1"/>
        <v>0</v>
      </c>
      <c r="J39" s="94">
        <v>0</v>
      </c>
      <c r="K39" s="94">
        <f t="shared" si="2"/>
        <v>0</v>
      </c>
      <c r="L39" s="92"/>
    </row>
    <row r="40" spans="1:12" x14ac:dyDescent="0.25">
      <c r="A40" s="9">
        <v>76</v>
      </c>
      <c r="B40">
        <v>70050</v>
      </c>
      <c r="C40" s="8" t="s">
        <v>84</v>
      </c>
      <c r="D40" s="2" t="s">
        <v>87</v>
      </c>
      <c r="F40" s="94">
        <v>234624</v>
      </c>
      <c r="G40" s="94">
        <f>261144-119222.66</f>
        <v>141921.34</v>
      </c>
      <c r="H40" s="94">
        <v>141921.34</v>
      </c>
      <c r="I40" s="94">
        <f t="shared" si="1"/>
        <v>0</v>
      </c>
      <c r="J40" s="94">
        <v>0</v>
      </c>
      <c r="K40" s="94">
        <f t="shared" si="2"/>
        <v>0</v>
      </c>
      <c r="L40" s="92"/>
    </row>
    <row r="41" spans="1:12" x14ac:dyDescent="0.25">
      <c r="A41" s="9">
        <v>76</v>
      </c>
      <c r="B41">
        <v>70050</v>
      </c>
      <c r="C41" s="8" t="s">
        <v>84</v>
      </c>
      <c r="D41" s="2" t="s">
        <v>120</v>
      </c>
      <c r="F41" s="94">
        <v>0</v>
      </c>
      <c r="G41" s="94">
        <v>0</v>
      </c>
      <c r="H41" s="94">
        <v>0</v>
      </c>
      <c r="I41" s="94">
        <f t="shared" si="1"/>
        <v>0</v>
      </c>
      <c r="J41" s="94">
        <v>10500</v>
      </c>
      <c r="K41" s="94">
        <f t="shared" si="2"/>
        <v>-10500</v>
      </c>
      <c r="L41" s="92"/>
    </row>
    <row r="42" spans="1:12" x14ac:dyDescent="0.25">
      <c r="A42" s="9">
        <v>76</v>
      </c>
      <c r="B42">
        <v>70050</v>
      </c>
      <c r="C42" s="8" t="s">
        <v>84</v>
      </c>
      <c r="D42" s="2" t="s">
        <v>119</v>
      </c>
      <c r="F42" s="94">
        <v>124730</v>
      </c>
      <c r="G42" s="94">
        <f>124968-57432.56</f>
        <v>67535.44</v>
      </c>
      <c r="H42" s="94">
        <f>61376.51+6158.93</f>
        <v>67535.44</v>
      </c>
      <c r="I42" s="94">
        <f t="shared" si="1"/>
        <v>0</v>
      </c>
      <c r="J42" s="94">
        <v>0</v>
      </c>
      <c r="K42" s="94">
        <f t="shared" si="2"/>
        <v>0</v>
      </c>
      <c r="L42" s="92"/>
    </row>
    <row r="43" spans="1:12" x14ac:dyDescent="0.25">
      <c r="A43" s="9">
        <v>76</v>
      </c>
      <c r="B43">
        <v>70050</v>
      </c>
      <c r="C43" s="8" t="s">
        <v>84</v>
      </c>
      <c r="D43" s="2" t="s">
        <v>121</v>
      </c>
      <c r="F43" s="94">
        <v>260278</v>
      </c>
      <c r="G43" s="94">
        <f>101218.25-855613.81</f>
        <v>-754395.56</v>
      </c>
      <c r="H43" s="94">
        <v>0</v>
      </c>
      <c r="I43" s="94">
        <f t="shared" si="1"/>
        <v>-754395.56</v>
      </c>
      <c r="J43" s="94">
        <v>0</v>
      </c>
      <c r="K43" s="94">
        <f t="shared" si="2"/>
        <v>-754395.56</v>
      </c>
      <c r="L43" s="92"/>
    </row>
    <row r="44" spans="1:12" x14ac:dyDescent="0.25">
      <c r="A44" s="9">
        <v>76</v>
      </c>
      <c r="B44">
        <v>70050</v>
      </c>
      <c r="C44" s="8" t="s">
        <v>84</v>
      </c>
      <c r="D44" s="2" t="s">
        <v>117</v>
      </c>
      <c r="F44" s="94">
        <v>4986</v>
      </c>
      <c r="G44" s="94">
        <f>8939-8939</f>
        <v>0</v>
      </c>
      <c r="H44" s="94">
        <v>0</v>
      </c>
      <c r="I44" s="94">
        <f t="shared" si="1"/>
        <v>0</v>
      </c>
      <c r="J44" s="94">
        <v>0</v>
      </c>
      <c r="K44" s="94">
        <f t="shared" si="2"/>
        <v>0</v>
      </c>
      <c r="L44" s="93"/>
    </row>
    <row r="45" spans="1:12" x14ac:dyDescent="0.25">
      <c r="A45" s="9">
        <v>76</v>
      </c>
      <c r="B45">
        <v>70050</v>
      </c>
      <c r="C45" s="8" t="s">
        <v>84</v>
      </c>
      <c r="D45" s="2" t="s">
        <v>118</v>
      </c>
      <c r="F45" s="94">
        <v>104239</v>
      </c>
      <c r="G45" s="94">
        <f>18129-18129</f>
        <v>0</v>
      </c>
      <c r="H45" s="94">
        <v>0</v>
      </c>
      <c r="I45" s="94">
        <f t="shared" si="1"/>
        <v>0</v>
      </c>
      <c r="J45" s="94">
        <v>0</v>
      </c>
      <c r="K45" s="94">
        <f t="shared" si="2"/>
        <v>0</v>
      </c>
      <c r="L45" s="93"/>
    </row>
    <row r="46" spans="1:12" x14ac:dyDescent="0.25">
      <c r="A46" s="15" t="s">
        <v>88</v>
      </c>
      <c r="B46" s="2"/>
      <c r="C46" s="2"/>
      <c r="D46" s="10"/>
      <c r="F46" s="94">
        <v>0</v>
      </c>
      <c r="G46" s="94">
        <v>0</v>
      </c>
      <c r="H46" s="94">
        <v>0</v>
      </c>
      <c r="I46" s="94">
        <v>0</v>
      </c>
      <c r="J46" s="94">
        <v>0</v>
      </c>
      <c r="K46" s="94">
        <v>0</v>
      </c>
      <c r="L46" s="93"/>
    </row>
    <row r="47" spans="1:12" x14ac:dyDescent="0.25">
      <c r="A47" s="12" t="s">
        <v>89</v>
      </c>
      <c r="B47" s="2"/>
      <c r="C47" s="2"/>
      <c r="D47" s="10"/>
      <c r="F47" s="94">
        <f t="shared" ref="F47:K47" si="3">SUM(F25:F45)</f>
        <v>8498720</v>
      </c>
      <c r="G47" s="94">
        <f t="shared" si="3"/>
        <v>7052175.1900000013</v>
      </c>
      <c r="H47" s="94">
        <f t="shared" si="3"/>
        <v>7806570.7500000009</v>
      </c>
      <c r="I47" s="94">
        <f t="shared" si="3"/>
        <v>-754395.56</v>
      </c>
      <c r="J47" s="94">
        <f t="shared" si="3"/>
        <v>10500</v>
      </c>
      <c r="K47" s="94">
        <f t="shared" si="3"/>
        <v>-764895.56</v>
      </c>
      <c r="L47" s="93"/>
    </row>
  </sheetData>
  <phoneticPr fontId="0" type="noConversion"/>
  <pageMargins left="0.18" right="0.28000000000000003" top="0.31" bottom="0.18" header="0.27" footer="0.18"/>
  <pageSetup scale="75" orientation="landscape" horizontalDpi="1200" verticalDpi="1200" r:id="rId1"/>
  <headerFooter alignWithMargins="0">
    <oddFooter>&amp;R&amp;F;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May Ledgers</vt:lpstr>
      <vt:lpstr>June Ledgers</vt:lpstr>
      <vt:lpstr>June Final Ledgers</vt:lpstr>
      <vt:lpstr>'June Final Ledgers'!Print_Area</vt:lpstr>
      <vt:lpstr>'June Ledgers'!Print_Area</vt:lpstr>
      <vt:lpstr>'May Ledgers'!Print_Area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Escoto</dc:creator>
  <cp:lastModifiedBy>Gabe Nwandu</cp:lastModifiedBy>
  <cp:lastPrinted>2010-04-21T22:53:06Z</cp:lastPrinted>
  <dcterms:created xsi:type="dcterms:W3CDTF">2002-05-21T19:36:22Z</dcterms:created>
  <dcterms:modified xsi:type="dcterms:W3CDTF">2013-05-24T23:39:56Z</dcterms:modified>
</cp:coreProperties>
</file>